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c9x\Documents\Bakersfield\Enrollment management\New Funding Formula - 2018\"/>
    </mc:Choice>
  </mc:AlternateContent>
  <xr:revisionPtr revIDLastSave="0" documentId="13_ncr:1_{21704EE1-1584-420D-814D-412761F9974C}" xr6:coauthVersionLast="36" xr6:coauthVersionMax="36" xr10:uidLastSave="{00000000-0000-0000-0000-000000000000}"/>
  <bookViews>
    <workbookView xWindow="0" yWindow="0" windowWidth="19770" windowHeight="9090" xr2:uid="{00000000-000D-0000-FFFF-FFFF00000000}"/>
  </bookViews>
  <sheets>
    <sheet name="2018-19 funding model v 2.1" sheetId="8" r:id="rId1"/>
    <sheet name="2019-20 funding model v 2.1" sheetId="11" r:id="rId2"/>
    <sheet name="2020-21 funding model v 2.1" sheetId="12" r:id="rId3"/>
    <sheet name="Comparative figure" sheetId="13" r:id="rId4"/>
    <sheet name="Student journeys" sheetId="2" r:id="rId5"/>
    <sheet name="Lookup tables" sheetId="3" r:id="rId6"/>
  </sheets>
  <calcPr calcId="17902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12" l="1"/>
  <c r="E4" i="12"/>
  <c r="E5" i="12"/>
  <c r="E9" i="12"/>
  <c r="E10" i="12"/>
  <c r="E11" i="12"/>
  <c r="E12" i="12"/>
  <c r="E15" i="12"/>
  <c r="E16" i="12"/>
  <c r="E17" i="12"/>
  <c r="E18" i="12"/>
  <c r="E25" i="12"/>
  <c r="B25" i="12"/>
  <c r="D28" i="12"/>
  <c r="D28" i="11"/>
  <c r="B25" i="11"/>
  <c r="E25" i="11"/>
  <c r="E18" i="11"/>
  <c r="E17" i="11"/>
  <c r="E16" i="11"/>
  <c r="E15" i="11"/>
  <c r="E12" i="11"/>
  <c r="E11" i="11"/>
  <c r="E10" i="11"/>
  <c r="E9" i="11"/>
  <c r="E5" i="11"/>
  <c r="E4" i="11"/>
  <c r="E3" i="11"/>
  <c r="F18" i="12" l="1"/>
  <c r="F17" i="12"/>
  <c r="F16" i="12"/>
  <c r="F15" i="12"/>
  <c r="F12" i="12"/>
  <c r="F11" i="12"/>
  <c r="F10" i="12"/>
  <c r="F9" i="12"/>
  <c r="D25" i="11"/>
  <c r="F25" i="11" s="1"/>
  <c r="D25" i="12"/>
  <c r="F25" i="12" s="1"/>
  <c r="F18" i="11"/>
  <c r="F17" i="11"/>
  <c r="F16" i="11"/>
  <c r="F15" i="11"/>
  <c r="F12" i="8"/>
  <c r="F11" i="8"/>
  <c r="F10" i="8"/>
  <c r="F9" i="8"/>
  <c r="F12" i="11"/>
  <c r="F11" i="11"/>
  <c r="F10" i="11"/>
  <c r="F9" i="11"/>
  <c r="E21" i="12"/>
  <c r="E20" i="12"/>
  <c r="G18" i="12"/>
  <c r="G17" i="12"/>
  <c r="G16" i="12"/>
  <c r="G15" i="12"/>
  <c r="G12" i="12"/>
  <c r="G11" i="12"/>
  <c r="G9" i="12"/>
  <c r="F5" i="12"/>
  <c r="F4" i="12"/>
  <c r="F3" i="12"/>
  <c r="E21" i="11"/>
  <c r="E20" i="11"/>
  <c r="G18" i="11"/>
  <c r="G17" i="11"/>
  <c r="G16" i="11"/>
  <c r="G15" i="11"/>
  <c r="G12" i="11"/>
  <c r="G11" i="11"/>
  <c r="G9" i="11"/>
  <c r="F5" i="11"/>
  <c r="F4" i="11"/>
  <c r="F3" i="11"/>
  <c r="D25" i="8"/>
  <c r="F25" i="8" s="1"/>
  <c r="G18" i="8"/>
  <c r="E24" i="3"/>
  <c r="E23" i="3"/>
  <c r="E21" i="8"/>
  <c r="E20" i="8"/>
  <c r="F18" i="8"/>
  <c r="G12" i="8"/>
  <c r="G17" i="8"/>
  <c r="F17" i="8"/>
  <c r="G11" i="8"/>
  <c r="G9" i="8"/>
  <c r="G16" i="8"/>
  <c r="F16" i="8"/>
  <c r="G15" i="8"/>
  <c r="F15" i="8"/>
  <c r="F5" i="8"/>
  <c r="F4" i="8"/>
  <c r="F3" i="8"/>
  <c r="F21" i="12" l="1"/>
  <c r="F6" i="12"/>
  <c r="D19" i="12"/>
  <c r="F20" i="12" s="1"/>
  <c r="F6" i="11"/>
  <c r="D19" i="8"/>
  <c r="F20" i="8" s="1"/>
  <c r="D19" i="11"/>
  <c r="F21" i="11" s="1"/>
  <c r="F6" i="8"/>
  <c r="F21" i="8" l="1"/>
  <c r="F22" i="8" s="1"/>
  <c r="F27" i="8" s="1"/>
  <c r="F28" i="8" s="1"/>
  <c r="C2" i="13" s="1"/>
  <c r="D2" i="13" s="1"/>
  <c r="F22" i="12"/>
  <c r="F27" i="12" s="1"/>
  <c r="F28" i="12" s="1"/>
  <c r="C4" i="13" s="1"/>
  <c r="F20" i="11"/>
  <c r="F22" i="11" s="1"/>
  <c r="F27" i="11" s="1"/>
  <c r="F28" i="11" s="1"/>
  <c r="C3" i="13" s="1"/>
  <c r="D4" i="13" l="1"/>
  <c r="D3" i="13"/>
</calcChain>
</file>

<file path=xl/sharedStrings.xml><?xml version="1.0" encoding="utf-8"?>
<sst xmlns="http://schemas.openxmlformats.org/spreadsheetml/2006/main" count="166" uniqueCount="69">
  <si>
    <t>                   Completes Transfer Level Math/English in First Year</t>
  </si>
  <si>
    <t>Possible points</t>
  </si>
  <si>
    <t>Funding</t>
  </si>
  <si>
    <t>Achieved? (Y/N)</t>
  </si>
  <si>
    <t>Yes</t>
  </si>
  <si>
    <t>No</t>
  </si>
  <si>
    <t>modifier</t>
  </si>
  <si>
    <t xml:space="preserve">Subtotal for Success </t>
  </si>
  <si>
    <t xml:space="preserve">                   Receives Pell Grant</t>
  </si>
  <si>
    <t xml:space="preserve">                   Receives CA Promise Grant (BOGW) </t>
  </si>
  <si>
    <t xml:space="preserve">Subtotal for Supplemental </t>
  </si>
  <si>
    <t>Grand Total</t>
  </si>
  <si>
    <t>Funding per year</t>
  </si>
  <si>
    <t>Yrs. to completion</t>
  </si>
  <si>
    <t xml:space="preserve">                   AB 540 student</t>
  </si>
  <si>
    <t xml:space="preserve">                   Completes 9 CTE units</t>
  </si>
  <si>
    <t>                   Transfers to a four- year university</t>
  </si>
  <si>
    <t>Reg. Credit</t>
  </si>
  <si>
    <t>CDCP</t>
  </si>
  <si>
    <r>
      <t>Funding Formula Factors</t>
    </r>
    <r>
      <rPr>
        <sz val="11"/>
        <color theme="1"/>
        <rFont val="Calibri"/>
        <family val="2"/>
        <scheme val="minor"/>
      </rPr>
      <t xml:space="preserve"> (Supplemental, Success, FTES)</t>
    </r>
  </si>
  <si>
    <t xml:space="preserve">                    FTES (ea. 30 units = 1 FTES)</t>
  </si>
  <si>
    <t>Special Admit</t>
  </si>
  <si>
    <t xml:space="preserve">                   Attains living wage*</t>
  </si>
  <si>
    <t>* Living wage is deteremined one year after exit from the CCC by matching against the EDD unemployment insurance database.</t>
  </si>
  <si>
    <t>No. Attained</t>
  </si>
  <si>
    <t>FTES Type</t>
  </si>
  <si>
    <t>No. FTES</t>
  </si>
  <si>
    <t xml:space="preserve">Incarcerated </t>
  </si>
  <si>
    <t>Success: Certificates &amp; Degrees</t>
  </si>
  <si>
    <t>Success: Momentum, Transfer &amp; Wages</t>
  </si>
  <si>
    <t>Funding Year</t>
  </si>
  <si>
    <t>2018-19</t>
  </si>
  <si>
    <t>2019-20</t>
  </si>
  <si>
    <t>2020-21</t>
  </si>
  <si>
    <t>Base FTES</t>
  </si>
  <si>
    <t>Supplemental</t>
  </si>
  <si>
    <t>Success</t>
  </si>
  <si>
    <t>Enhanced FTES</t>
  </si>
  <si>
    <t>Sum of success points</t>
  </si>
  <si>
    <t>                   Certificate (e.g., CSU GE Cert.)</t>
  </si>
  <si>
    <t>                   Traditional Associate Degree</t>
  </si>
  <si>
    <t xml:space="preserve">                   ADT </t>
  </si>
  <si>
    <t xml:space="preserve">                   CCC Bachelor of Science</t>
  </si>
  <si>
    <t>how a specific student profile changes over time.</t>
  </si>
  <si>
    <t>for 2019-20 and 2020-21 (don't make changes on those tabs directly or the links among the tabs will be broken). This allows you to track</t>
  </si>
  <si>
    <t>Options that can be changed inlcuded the type of FTES being earned (cell B25), the number of certificates or awards attained (cells E9-E12),</t>
  </si>
  <si>
    <t>and whether a student has attained certain momentum points or outcomes (cells E15-E18). Supplemental points are awarded for California</t>
  </si>
  <si>
    <t xml:space="preserve">Promise, Pell Grant, and/or AB 540 status (cells E3-E5). Note that California Promise and Pell Grant status also act as multipliers for any </t>
  </si>
  <si>
    <t>success outcomes attained or achieved. These multiplier effects automatically show up on rows 21 &amp; 22 -- do not edit these rows manually.</t>
  </si>
  <si>
    <t>Additionally, you may specify the number of FTES earned (cell E25) and the number of years needed to achieve the indicated outcomes.</t>
  </si>
  <si>
    <r>
      <rPr>
        <b/>
        <sz val="11"/>
        <color theme="1"/>
        <rFont val="Calibri"/>
        <family val="2"/>
        <scheme val="minor"/>
      </rPr>
      <t xml:space="preserve">Directions: </t>
    </r>
    <r>
      <rPr>
        <sz val="11"/>
        <color theme="1"/>
        <rFont val="Calibri"/>
        <family val="2"/>
        <scheme val="minor"/>
      </rPr>
      <t xml:space="preserve">Make your selections on this tab, which shows the results for SCFF for 2018-19, and the same choices will be reflected in the tabs </t>
    </r>
  </si>
  <si>
    <t>tabs for 2019-20 and 2020-21 (don't make changes on these tabs directly or the links among the tabs will be broken). This allows you to track</t>
  </si>
  <si>
    <r>
      <rPr>
        <b/>
        <sz val="11"/>
        <color theme="1"/>
        <rFont val="Calibri"/>
        <family val="2"/>
        <scheme val="minor"/>
      </rPr>
      <t xml:space="preserve">Directions: </t>
    </r>
    <r>
      <rPr>
        <sz val="11"/>
        <color theme="1"/>
        <rFont val="Calibri"/>
        <family val="2"/>
        <scheme val="minor"/>
      </rPr>
      <t>Make your selections on the first tab, which shows the results for SCFF for 2018-19, and the same choices will be reflected in the</t>
    </r>
  </si>
  <si>
    <t>Funding per year for selected student profile</t>
  </si>
  <si>
    <t>Funding year</t>
  </si>
  <si>
    <t>Delta relative to 2018-19</t>
  </si>
  <si>
    <t>Recent  High School Student Jessica:</t>
  </si>
  <si>
    <t>Inmate Scholar Joe:</t>
  </si>
  <si>
    <t>Receives a CA Promise Grant, completes transfer-level math and English in the first year, completes a certificate, completes an ADT, gets released and transfers to a four-year school, generates 2 FTES (at incarcerated student rate) and does this in four years.</t>
  </si>
  <si>
    <t>Receives a CA Promise Grant and Pell Grant, completes transfer-level math and English in the first year, completes a certificate, completes an Associate degree, completes an ADT, transfers to a four-year school, generates 2 FTES (at regular rate) and does this in three years.</t>
  </si>
  <si>
    <t>Recent  High School Student Jesse:</t>
  </si>
  <si>
    <t>Possible student journey scenarios to simulate</t>
  </si>
  <si>
    <t>Receives neither the CA Promise Grant nor the Pell Grant, completes transfer-level math and English in the first year, completes a certificate, completes an Associate degree, completes an ADT, transfers to a four-year school, generates 2 FTES (at regular rate) and does this in two years.</t>
  </si>
  <si>
    <t>Skills builder Jane:</t>
  </si>
  <si>
    <t>Receives neither the CA Promise Grant nor the Pell Grant, completes completes nine CTE units, attains a living wage, and generates .33 FTES (at regular rate) in one year. Note: using a value of 1 FTES will allow for a better per year comparison with other student journeys, just realize it is the equivalent of three skills builder students.</t>
  </si>
  <si>
    <t>BS student Gary:</t>
  </si>
  <si>
    <t>Receives a CA Promise Grant and Pell Grant, completes transfer-level math and English in the first year, completes nine CTE certificates in his second year, third year and fourth year, completes two certificates, an Associate degree, and a BS (at the CCC), generates 4 FTES (at regular rate) and does this in four years.</t>
  </si>
  <si>
    <t>craig.hayward@bakersfieldcollege.edu</t>
  </si>
  <si>
    <t>Developed by Craig Hayward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</si>
</sst>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44" fontId="5" fillId="0" borderId="0" xfId="0" applyNumberFormat="1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44" fontId="6" fillId="0" borderId="0" xfId="0" applyNumberFormat="1" applyFo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0" xfId="0" applyFon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4" fontId="0" fillId="0" borderId="7" xfId="1" applyFont="1" applyBorder="1" applyAlignment="1">
      <alignment horizontal="center"/>
    </xf>
    <xf numFmtId="0" fontId="0" fillId="0" borderId="0" xfId="0" applyBorder="1" applyAlignment="1">
      <alignment horizontal="right"/>
    </xf>
    <xf numFmtId="44" fontId="0" fillId="0" borderId="7" xfId="0" applyNumberFormat="1" applyBorder="1" applyAlignment="1">
      <alignment horizontal="center"/>
    </xf>
    <xf numFmtId="0" fontId="2" fillId="0" borderId="0" xfId="0" applyFont="1" applyBorder="1"/>
    <xf numFmtId="0" fontId="2" fillId="0" borderId="7" xfId="0" applyFont="1" applyBorder="1"/>
    <xf numFmtId="0" fontId="2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44" fontId="6" fillId="0" borderId="7" xfId="0" applyNumberFormat="1" applyFont="1" applyBorder="1"/>
    <xf numFmtId="0" fontId="0" fillId="0" borderId="8" xfId="0" applyBorder="1"/>
    <xf numFmtId="0" fontId="0" fillId="0" borderId="9" xfId="0" applyFont="1" applyBorder="1" applyAlignment="1">
      <alignment horizontal="right"/>
    </xf>
    <xf numFmtId="0" fontId="0" fillId="0" borderId="9" xfId="0" applyFont="1" applyBorder="1" applyAlignment="1">
      <alignment horizontal="center"/>
    </xf>
    <xf numFmtId="44" fontId="5" fillId="0" borderId="10" xfId="0" applyNumberFormat="1" applyFont="1" applyBorder="1"/>
    <xf numFmtId="0" fontId="7" fillId="0" borderId="3" xfId="0" applyFont="1" applyBorder="1" applyAlignment="1">
      <alignment horizontal="center"/>
    </xf>
    <xf numFmtId="0" fontId="0" fillId="0" borderId="0" xfId="0" applyFill="1" applyBorder="1"/>
    <xf numFmtId="0" fontId="7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" fontId="0" fillId="0" borderId="0" xfId="0" applyNumberFormat="1"/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0" fillId="0" borderId="9" xfId="0" applyFont="1" applyBorder="1" applyAlignment="1">
      <alignment horizontal="right"/>
    </xf>
    <xf numFmtId="44" fontId="5" fillId="0" borderId="10" xfId="1" applyFont="1" applyBorder="1"/>
    <xf numFmtId="44" fontId="0" fillId="0" borderId="0" xfId="0" applyNumberFormat="1"/>
    <xf numFmtId="0" fontId="8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0" fillId="0" borderId="0" xfId="0" applyFont="1" applyAlignment="1">
      <alignment horizontal="right" wrapText="1"/>
    </xf>
    <xf numFmtId="0" fontId="11" fillId="0" borderId="0" xfId="0" applyFont="1"/>
    <xf numFmtId="0" fontId="14" fillId="0" borderId="0" xfId="2" applyFont="1" applyAlignment="1">
      <alignment horizontal="left"/>
    </xf>
    <xf numFmtId="0" fontId="12" fillId="0" borderId="0" xfId="0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'Comparative figure'!$C$1</c:f>
              <c:strCache>
                <c:ptCount val="1"/>
                <c:pt idx="0">
                  <c:v>Funding per year for selected student profile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'Comparative figure'!$B$2:$B$4</c:f>
              <c:strCache>
                <c:ptCount val="3"/>
                <c:pt idx="0">
                  <c:v>2018-19</c:v>
                </c:pt>
                <c:pt idx="1">
                  <c:v>2019-20</c:v>
                </c:pt>
                <c:pt idx="2">
                  <c:v>2020-21</c:v>
                </c:pt>
              </c:strCache>
            </c:strRef>
          </c:cat>
          <c:val>
            <c:numRef>
              <c:f>'Comparative figure'!$C$2:$C$4</c:f>
              <c:numCache>
                <c:formatCode>_("$"* #,##0.00_);_("$"* \(#,##0.00\);_("$"* "-"??_);_(@_)</c:formatCode>
                <c:ptCount val="3"/>
                <c:pt idx="0">
                  <c:v>3568</c:v>
                </c:pt>
                <c:pt idx="1">
                  <c:v>3733.3333333333335</c:v>
                </c:pt>
                <c:pt idx="2">
                  <c:v>3891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D-49B0-AF28-653841233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1847448"/>
        <c:axId val="641847776"/>
      </c:barChart>
      <c:catAx>
        <c:axId val="641847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847776"/>
        <c:crosses val="autoZero"/>
        <c:auto val="1"/>
        <c:lblAlgn val="ctr"/>
        <c:lblOffset val="100"/>
        <c:noMultiLvlLbl val="0"/>
      </c:catAx>
      <c:valAx>
        <c:axId val="641847776"/>
        <c:scaling>
          <c:orientation val="minMax"/>
        </c:scaling>
        <c:delete val="0"/>
        <c:axPos val="l"/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847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</xdr:colOff>
      <xdr:row>41</xdr:row>
      <xdr:rowOff>30480</xdr:rowOff>
    </xdr:from>
    <xdr:to>
      <xdr:col>2</xdr:col>
      <xdr:colOff>546735</xdr:colOff>
      <xdr:row>43</xdr:row>
      <xdr:rowOff>175895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5D33E6-3E74-4DDB-9987-E077A2A72A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341870"/>
          <a:ext cx="1518285" cy="5111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262890</xdr:colOff>
      <xdr:row>7</xdr:row>
      <xdr:rowOff>55244</xdr:rowOff>
    </xdr:from>
    <xdr:to>
      <xdr:col>5</xdr:col>
      <xdr:colOff>548640</xdr:colOff>
      <xdr:row>25</xdr:row>
      <xdr:rowOff>129539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55A1B5-DA48-44E0-9EBD-CF3D9D49F0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708660</xdr:colOff>
      <xdr:row>4</xdr:row>
      <xdr:rowOff>34290</xdr:rowOff>
    </xdr:from>
    <xdr:to>
      <xdr:col>2</xdr:col>
      <xdr:colOff>2226945</xdr:colOff>
      <xdr:row>6</xdr:row>
      <xdr:rowOff>179705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6182ADE-96E6-433E-932C-54D9625FBBD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790" y="765810"/>
          <a:ext cx="1518285" cy="5111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4827270</xdr:colOff>
      <xdr:row>0</xdr:row>
      <xdr:rowOff>22860</xdr:rowOff>
    </xdr:from>
    <xdr:to>
      <xdr:col>1</xdr:col>
      <xdr:colOff>6345555</xdr:colOff>
      <xdr:row>2</xdr:row>
      <xdr:rowOff>118745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B20C02-A777-4333-B57C-A646BB86BE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22860"/>
          <a:ext cx="1518285" cy="511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aig.hayward@bakersfieldcollege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67D73-3674-485F-8498-475A60B77107}">
  <sheetPr>
    <tabColor theme="5" tint="0.79998168889431442"/>
  </sheetPr>
  <dimension ref="B1:G46"/>
  <sheetViews>
    <sheetView tabSelected="1" zoomScaleNormal="100" workbookViewId="0">
      <selection activeCell="H32" sqref="H32"/>
    </sheetView>
  </sheetViews>
  <sheetFormatPr defaultRowHeight="14.4" x14ac:dyDescent="0.55000000000000004"/>
  <cols>
    <col min="1" max="1" width="3.62890625" customWidth="1"/>
    <col min="2" max="2" width="13.47265625" customWidth="1"/>
    <col min="3" max="3" width="50.26171875" bestFit="1" customWidth="1"/>
    <col min="4" max="4" width="12.9453125" bestFit="1" customWidth="1"/>
    <col min="5" max="5" width="15.15625" bestFit="1" customWidth="1"/>
    <col min="6" max="6" width="16.578125" customWidth="1"/>
  </cols>
  <sheetData>
    <row r="1" spans="2:7" ht="12.3" customHeight="1" x14ac:dyDescent="0.55000000000000004"/>
    <row r="2" spans="2:7" x14ac:dyDescent="0.55000000000000004">
      <c r="B2" s="38" t="s">
        <v>30</v>
      </c>
      <c r="C2" s="15" t="s">
        <v>19</v>
      </c>
      <c r="D2" s="16" t="s">
        <v>1</v>
      </c>
      <c r="E2" s="40" t="s">
        <v>3</v>
      </c>
      <c r="F2" s="17" t="s">
        <v>2</v>
      </c>
    </row>
    <row r="3" spans="2:7" x14ac:dyDescent="0.55000000000000004">
      <c r="B3" s="18" t="s">
        <v>31</v>
      </c>
      <c r="C3" s="19" t="s">
        <v>9</v>
      </c>
      <c r="D3" s="20">
        <v>1</v>
      </c>
      <c r="E3" s="21" t="s">
        <v>4</v>
      </c>
      <c r="F3" s="22">
        <f>IF(E3="Yes",919,0)</f>
        <v>919</v>
      </c>
    </row>
    <row r="4" spans="2:7" x14ac:dyDescent="0.55000000000000004">
      <c r="B4" s="18"/>
      <c r="C4" s="19" t="s">
        <v>8</v>
      </c>
      <c r="D4" s="20">
        <v>1</v>
      </c>
      <c r="E4" s="21" t="s">
        <v>5</v>
      </c>
      <c r="F4" s="22">
        <f>IF(E4="Yes",919,0)</f>
        <v>0</v>
      </c>
    </row>
    <row r="5" spans="2:7" x14ac:dyDescent="0.55000000000000004">
      <c r="B5" s="18"/>
      <c r="C5" s="19" t="s">
        <v>14</v>
      </c>
      <c r="D5" s="20">
        <v>1</v>
      </c>
      <c r="E5" s="21" t="s">
        <v>5</v>
      </c>
      <c r="F5" s="22">
        <f>IF(E5="Yes",919,0)</f>
        <v>0</v>
      </c>
    </row>
    <row r="6" spans="2:7" x14ac:dyDescent="0.55000000000000004">
      <c r="B6" s="18"/>
      <c r="C6" s="23" t="s">
        <v>10</v>
      </c>
      <c r="D6" s="21"/>
      <c r="E6" s="21"/>
      <c r="F6" s="24">
        <f>SUM(F3:F5)</f>
        <v>919</v>
      </c>
    </row>
    <row r="7" spans="2:7" x14ac:dyDescent="0.55000000000000004">
      <c r="B7" s="18"/>
      <c r="C7" s="23"/>
      <c r="D7" s="21"/>
      <c r="E7" s="21"/>
      <c r="F7" s="24"/>
    </row>
    <row r="8" spans="2:7" x14ac:dyDescent="0.55000000000000004">
      <c r="B8" s="18"/>
      <c r="C8" s="25" t="s">
        <v>28</v>
      </c>
      <c r="D8" s="41" t="s">
        <v>1</v>
      </c>
      <c r="E8" s="43" t="s">
        <v>24</v>
      </c>
      <c r="F8" s="44" t="s">
        <v>2</v>
      </c>
    </row>
    <row r="9" spans="2:7" x14ac:dyDescent="0.55000000000000004">
      <c r="B9" s="18"/>
      <c r="C9" s="19" t="s">
        <v>39</v>
      </c>
      <c r="D9" s="21">
        <v>2</v>
      </c>
      <c r="E9" s="20">
        <v>1</v>
      </c>
      <c r="F9" s="22">
        <f>E9*D9*111</f>
        <v>222</v>
      </c>
      <c r="G9" s="14">
        <f>IF(E9="Yes",D9,0)</f>
        <v>0</v>
      </c>
    </row>
    <row r="10" spans="2:7" x14ac:dyDescent="0.55000000000000004">
      <c r="B10" s="18"/>
      <c r="C10" s="19" t="s">
        <v>40</v>
      </c>
      <c r="D10" s="21">
        <v>3</v>
      </c>
      <c r="E10" s="20">
        <v>0</v>
      </c>
      <c r="F10" s="22">
        <f>E10*D10*111</f>
        <v>0</v>
      </c>
      <c r="G10" s="14"/>
    </row>
    <row r="11" spans="2:7" x14ac:dyDescent="0.55000000000000004">
      <c r="B11" s="18"/>
      <c r="C11" s="19" t="s">
        <v>41</v>
      </c>
      <c r="D11" s="21">
        <v>4</v>
      </c>
      <c r="E11" s="20">
        <v>1</v>
      </c>
      <c r="F11" s="22">
        <f>E11*D11*111</f>
        <v>444</v>
      </c>
      <c r="G11" s="14">
        <f>IF(E11="Yes",D11,0)</f>
        <v>0</v>
      </c>
    </row>
    <row r="12" spans="2:7" x14ac:dyDescent="0.55000000000000004">
      <c r="B12" s="18"/>
      <c r="C12" s="19" t="s">
        <v>42</v>
      </c>
      <c r="D12" s="21">
        <v>3</v>
      </c>
      <c r="E12" s="20">
        <v>0</v>
      </c>
      <c r="F12" s="22">
        <f>E12*D12*111</f>
        <v>0</v>
      </c>
      <c r="G12" s="14">
        <f>IF(E12="Yes",D12,0)</f>
        <v>0</v>
      </c>
    </row>
    <row r="13" spans="2:7" x14ac:dyDescent="0.55000000000000004">
      <c r="B13" s="18"/>
      <c r="C13" s="19"/>
      <c r="D13" s="21"/>
      <c r="E13" s="41"/>
      <c r="F13" s="22"/>
      <c r="G13" s="14"/>
    </row>
    <row r="14" spans="2:7" x14ac:dyDescent="0.55000000000000004">
      <c r="B14" s="18"/>
      <c r="C14" s="25" t="s">
        <v>29</v>
      </c>
      <c r="D14" s="25"/>
      <c r="E14" s="25"/>
      <c r="F14" s="26"/>
    </row>
    <row r="15" spans="2:7" x14ac:dyDescent="0.55000000000000004">
      <c r="B15" s="18"/>
      <c r="C15" s="19" t="s">
        <v>0</v>
      </c>
      <c r="D15" s="21">
        <v>2</v>
      </c>
      <c r="E15" s="21" t="s">
        <v>4</v>
      </c>
      <c r="F15" s="22">
        <f>IF(E15="Yes",D15*111,0)</f>
        <v>222</v>
      </c>
      <c r="G15" s="14">
        <f>IF(E15="Yes",D15,0)</f>
        <v>2</v>
      </c>
    </row>
    <row r="16" spans="2:7" x14ac:dyDescent="0.55000000000000004">
      <c r="B16" s="18"/>
      <c r="C16" s="19" t="s">
        <v>15</v>
      </c>
      <c r="D16" s="21">
        <v>1</v>
      </c>
      <c r="E16" s="21" t="s">
        <v>4</v>
      </c>
      <c r="F16" s="22">
        <f>IF(E16="Yes",D16*111,0)</f>
        <v>111</v>
      </c>
      <c r="G16" s="14">
        <f>IF(E16="Yes",D16,0)</f>
        <v>1</v>
      </c>
    </row>
    <row r="17" spans="2:7" x14ac:dyDescent="0.55000000000000004">
      <c r="B17" s="18"/>
      <c r="C17" s="19" t="s">
        <v>16</v>
      </c>
      <c r="D17" s="21">
        <v>1.5</v>
      </c>
      <c r="E17" s="21" t="s">
        <v>4</v>
      </c>
      <c r="F17" s="22">
        <f>IF(E17="Yes",D17*111,0)</f>
        <v>166.5</v>
      </c>
      <c r="G17" s="14">
        <f>IF(E17="Yes",D17,0)</f>
        <v>1.5</v>
      </c>
    </row>
    <row r="18" spans="2:7" x14ac:dyDescent="0.55000000000000004">
      <c r="B18" s="18"/>
      <c r="C18" s="39" t="s">
        <v>22</v>
      </c>
      <c r="D18" s="21">
        <v>1</v>
      </c>
      <c r="E18" s="21" t="s">
        <v>5</v>
      </c>
      <c r="F18" s="22">
        <f>IF(E18="Yes",D18*111,0)</f>
        <v>0</v>
      </c>
      <c r="G18" s="14">
        <f>IF(E18="Yes",D18,0)</f>
        <v>0</v>
      </c>
    </row>
    <row r="19" spans="2:7" x14ac:dyDescent="0.55000000000000004">
      <c r="B19" s="18"/>
      <c r="C19" s="46" t="s">
        <v>38</v>
      </c>
      <c r="D19" s="47">
        <f>SUM(G15:G18)+(E12*D12)+(E11*D11)+(E10*D10)+(E9*D9)</f>
        <v>10.5</v>
      </c>
      <c r="E19" s="21"/>
      <c r="F19" s="22"/>
    </row>
    <row r="20" spans="2:7" x14ac:dyDescent="0.55000000000000004">
      <c r="B20" s="18"/>
      <c r="C20" s="19" t="s">
        <v>9</v>
      </c>
      <c r="D20" s="28" t="s">
        <v>6</v>
      </c>
      <c r="E20" s="12" t="str">
        <f>E3</f>
        <v>Yes</v>
      </c>
      <c r="F20" s="22">
        <f>IF(E20="Yes",D19*111,0)</f>
        <v>1165.5</v>
      </c>
    </row>
    <row r="21" spans="2:7" x14ac:dyDescent="0.55000000000000004">
      <c r="B21" s="18"/>
      <c r="C21" s="19" t="s">
        <v>8</v>
      </c>
      <c r="D21" s="28" t="s">
        <v>6</v>
      </c>
      <c r="E21" s="13" t="str">
        <f>E4</f>
        <v>No</v>
      </c>
      <c r="F21" s="22">
        <f>IF(E21="Yes",D19*1.5*111,0)</f>
        <v>0</v>
      </c>
    </row>
    <row r="22" spans="2:7" x14ac:dyDescent="0.55000000000000004">
      <c r="B22" s="18"/>
      <c r="C22" s="23" t="s">
        <v>7</v>
      </c>
      <c r="D22" s="21"/>
      <c r="E22" s="21"/>
      <c r="F22" s="24">
        <f>SUM(F9:F21)</f>
        <v>2331</v>
      </c>
    </row>
    <row r="23" spans="2:7" x14ac:dyDescent="0.55000000000000004">
      <c r="B23" s="18"/>
      <c r="C23" s="23"/>
      <c r="D23" s="21"/>
      <c r="E23" s="21"/>
      <c r="F23" s="24"/>
    </row>
    <row r="24" spans="2:7" x14ac:dyDescent="0.55000000000000004">
      <c r="B24" s="42" t="s">
        <v>25</v>
      </c>
      <c r="C24" s="23"/>
      <c r="D24" s="21"/>
      <c r="E24" s="43" t="s">
        <v>26</v>
      </c>
      <c r="F24" s="24"/>
    </row>
    <row r="25" spans="2:7" x14ac:dyDescent="0.55000000000000004">
      <c r="B25" s="27" t="s">
        <v>17</v>
      </c>
      <c r="C25" s="19" t="s">
        <v>20</v>
      </c>
      <c r="D25" s="21">
        <f>IF(B25="Reg. Credit",3727,5457)</f>
        <v>3727</v>
      </c>
      <c r="E25" s="20">
        <v>2</v>
      </c>
      <c r="F25" s="22">
        <f>D25*E25</f>
        <v>7454</v>
      </c>
    </row>
    <row r="26" spans="2:7" x14ac:dyDescent="0.55000000000000004">
      <c r="B26" s="29"/>
      <c r="C26" s="19"/>
      <c r="D26" s="21"/>
      <c r="E26" s="21"/>
      <c r="F26" s="30"/>
    </row>
    <row r="27" spans="2:7" ht="15.6" x14ac:dyDescent="0.6">
      <c r="B27" s="29"/>
      <c r="C27" s="31" t="s">
        <v>11</v>
      </c>
      <c r="D27" s="32"/>
      <c r="E27" s="32"/>
      <c r="F27" s="33">
        <f>F6+F22+F25</f>
        <v>10704</v>
      </c>
    </row>
    <row r="28" spans="2:7" ht="23.1" x14ac:dyDescent="0.85">
      <c r="B28" s="34"/>
      <c r="C28" s="35" t="s">
        <v>13</v>
      </c>
      <c r="D28" s="48">
        <v>3</v>
      </c>
      <c r="E28" s="49" t="s">
        <v>12</v>
      </c>
      <c r="F28" s="37">
        <f>F27/D28</f>
        <v>3568</v>
      </c>
      <c r="G28" s="7"/>
    </row>
    <row r="29" spans="2:7" x14ac:dyDescent="0.55000000000000004">
      <c r="B29" t="s">
        <v>23</v>
      </c>
    </row>
    <row r="30" spans="2:7" ht="8.4" customHeight="1" x14ac:dyDescent="0.55000000000000004">
      <c r="C30" s="1"/>
      <c r="D30" s="1"/>
      <c r="E30" s="1"/>
      <c r="F30" s="1"/>
    </row>
    <row r="31" spans="2:7" x14ac:dyDescent="0.55000000000000004">
      <c r="B31" t="s">
        <v>50</v>
      </c>
      <c r="D31" s="2"/>
      <c r="E31" s="2"/>
      <c r="F31" s="2"/>
    </row>
    <row r="32" spans="2:7" x14ac:dyDescent="0.55000000000000004">
      <c r="B32" t="s">
        <v>44</v>
      </c>
      <c r="D32" s="3"/>
      <c r="E32" s="2"/>
      <c r="F32" s="2"/>
    </row>
    <row r="33" spans="2:6" x14ac:dyDescent="0.55000000000000004">
      <c r="B33" t="s">
        <v>43</v>
      </c>
      <c r="D33" s="3"/>
      <c r="E33" s="2"/>
      <c r="F33" s="2"/>
    </row>
    <row r="34" spans="2:6" ht="6.9" customHeight="1" x14ac:dyDescent="0.55000000000000004">
      <c r="D34" s="2"/>
      <c r="E34" s="2"/>
      <c r="F34" s="2"/>
    </row>
    <row r="35" spans="2:6" x14ac:dyDescent="0.55000000000000004">
      <c r="B35" t="s">
        <v>45</v>
      </c>
      <c r="D35" s="2"/>
      <c r="E35" s="2"/>
      <c r="F35" s="2"/>
    </row>
    <row r="36" spans="2:6" x14ac:dyDescent="0.55000000000000004">
      <c r="B36" t="s">
        <v>46</v>
      </c>
      <c r="D36" s="2"/>
      <c r="E36" s="2"/>
      <c r="F36" s="2"/>
    </row>
    <row r="37" spans="2:6" x14ac:dyDescent="0.55000000000000004">
      <c r="B37" t="s">
        <v>47</v>
      </c>
      <c r="D37" s="2"/>
      <c r="E37" s="2"/>
      <c r="F37" s="2"/>
    </row>
    <row r="38" spans="2:6" x14ac:dyDescent="0.55000000000000004">
      <c r="B38" t="s">
        <v>48</v>
      </c>
      <c r="D38" s="2"/>
      <c r="E38" s="2"/>
      <c r="F38" s="2"/>
    </row>
    <row r="39" spans="2:6" ht="5.4" customHeight="1" x14ac:dyDescent="0.55000000000000004">
      <c r="D39" s="2"/>
      <c r="E39" s="2"/>
      <c r="F39" s="2"/>
    </row>
    <row r="40" spans="2:6" x14ac:dyDescent="0.55000000000000004">
      <c r="B40" t="s">
        <v>49</v>
      </c>
      <c r="D40" s="2"/>
      <c r="E40" s="2"/>
      <c r="F40" s="2"/>
    </row>
    <row r="45" spans="2:6" x14ac:dyDescent="0.55000000000000004">
      <c r="B45" s="60" t="s">
        <v>68</v>
      </c>
    </row>
    <row r="46" spans="2:6" x14ac:dyDescent="0.55000000000000004">
      <c r="B46" s="59" t="s">
        <v>67</v>
      </c>
    </row>
  </sheetData>
  <hyperlinks>
    <hyperlink ref="B46" r:id="rId1" xr:uid="{6DA089CD-E52C-4732-A2E3-8C6FB1622886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0296A77-69D0-4792-80BC-293570BD77A1}">
          <x14:formula1>
            <xm:f>'Lookup tables'!$A$1:$A$2</xm:f>
          </x14:formula1>
          <xm:sqref>E31:E39 E3:E5 E15:E21</xm:sqref>
        </x14:dataValidation>
        <x14:dataValidation type="list" allowBlank="1" showInputMessage="1" showErrorMessage="1" xr:uid="{08EE6D94-3A59-45FA-925C-7940A956BC1A}">
          <x14:formula1>
            <xm:f>'Lookup tables'!$A$16:$A$19</xm:f>
          </x14:formula1>
          <xm:sqref>B25</xm:sqref>
        </x14:dataValidation>
        <x14:dataValidation type="list" allowBlank="1" showInputMessage="1" showErrorMessage="1" xr:uid="{FB808E73-3CC7-4C1B-A742-C744B06D8CAF}">
          <x14:formula1>
            <xm:f>'Lookup tables'!$A$4:$A$13</xm:f>
          </x14:formula1>
          <xm:sqref>E9:E13</xm:sqref>
        </x14:dataValidation>
        <x14:dataValidation type="list" allowBlank="1" showInputMessage="1" showErrorMessage="1" xr:uid="{AFDED1AD-6CC0-4DF1-8533-B8891C232D7F}">
          <x14:formula1>
            <xm:f>'Lookup tables'!$A$22:$A$24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8F371-A827-41D0-92A6-3A7C6F38DA8E}">
  <sheetPr>
    <tabColor theme="8" tint="0.79998168889431442"/>
  </sheetPr>
  <dimension ref="B2:G40"/>
  <sheetViews>
    <sheetView zoomScaleNormal="100" workbookViewId="0"/>
  </sheetViews>
  <sheetFormatPr defaultRowHeight="14.4" x14ac:dyDescent="0.55000000000000004"/>
  <cols>
    <col min="1" max="1" width="5.41796875" customWidth="1"/>
    <col min="2" max="2" width="13.47265625" customWidth="1"/>
    <col min="3" max="3" width="50.26171875" bestFit="1" customWidth="1"/>
    <col min="4" max="4" width="12.9453125" bestFit="1" customWidth="1"/>
    <col min="5" max="5" width="15.15625" bestFit="1" customWidth="1"/>
    <col min="6" max="6" width="17.15625" bestFit="1" customWidth="1"/>
  </cols>
  <sheetData>
    <row r="2" spans="2:7" x14ac:dyDescent="0.55000000000000004">
      <c r="B2" s="38" t="s">
        <v>30</v>
      </c>
      <c r="C2" s="15" t="s">
        <v>19</v>
      </c>
      <c r="D2" s="16" t="s">
        <v>1</v>
      </c>
      <c r="E2" s="40" t="s">
        <v>3</v>
      </c>
      <c r="F2" s="17" t="s">
        <v>2</v>
      </c>
    </row>
    <row r="3" spans="2:7" x14ac:dyDescent="0.55000000000000004">
      <c r="B3" s="18" t="s">
        <v>32</v>
      </c>
      <c r="C3" s="19" t="s">
        <v>9</v>
      </c>
      <c r="D3" s="20">
        <v>1</v>
      </c>
      <c r="E3" s="21" t="str">
        <f>'2018-19 funding model v 2.1'!E3</f>
        <v>Yes</v>
      </c>
      <c r="F3" s="22">
        <f>IF(E3="Yes",919,0)</f>
        <v>919</v>
      </c>
    </row>
    <row r="4" spans="2:7" x14ac:dyDescent="0.55000000000000004">
      <c r="B4" s="18"/>
      <c r="C4" s="19" t="s">
        <v>8</v>
      </c>
      <c r="D4" s="20">
        <v>1</v>
      </c>
      <c r="E4" s="21" t="str">
        <f>'2018-19 funding model v 2.1'!E4</f>
        <v>No</v>
      </c>
      <c r="F4" s="22">
        <f>IF(E4="Yes",919,0)</f>
        <v>0</v>
      </c>
    </row>
    <row r="5" spans="2:7" x14ac:dyDescent="0.55000000000000004">
      <c r="B5" s="18"/>
      <c r="C5" s="19" t="s">
        <v>14</v>
      </c>
      <c r="D5" s="20">
        <v>1</v>
      </c>
      <c r="E5" s="21" t="str">
        <f>'2018-19 funding model v 2.1'!E5</f>
        <v>No</v>
      </c>
      <c r="F5" s="22">
        <f>IF(E5="Yes",919,0)</f>
        <v>0</v>
      </c>
    </row>
    <row r="6" spans="2:7" x14ac:dyDescent="0.55000000000000004">
      <c r="B6" s="18"/>
      <c r="C6" s="23" t="s">
        <v>10</v>
      </c>
      <c r="D6" s="21"/>
      <c r="E6" s="21"/>
      <c r="F6" s="24">
        <f>SUM(F3:F5)</f>
        <v>919</v>
      </c>
    </row>
    <row r="7" spans="2:7" x14ac:dyDescent="0.55000000000000004">
      <c r="B7" s="18"/>
      <c r="C7" s="23"/>
      <c r="D7" s="21"/>
      <c r="E7" s="21"/>
      <c r="F7" s="24"/>
    </row>
    <row r="8" spans="2:7" x14ac:dyDescent="0.55000000000000004">
      <c r="B8" s="18"/>
      <c r="C8" s="25" t="s">
        <v>28</v>
      </c>
      <c r="D8" s="41" t="s">
        <v>1</v>
      </c>
      <c r="E8" s="43" t="s">
        <v>24</v>
      </c>
      <c r="F8" s="44" t="s">
        <v>2</v>
      </c>
    </row>
    <row r="9" spans="2:7" x14ac:dyDescent="0.55000000000000004">
      <c r="B9" s="18"/>
      <c r="C9" s="19" t="s">
        <v>39</v>
      </c>
      <c r="D9" s="21">
        <v>2</v>
      </c>
      <c r="E9" s="20">
        <f>'2018-19 funding model v 2.1'!E9</f>
        <v>1</v>
      </c>
      <c r="F9" s="22">
        <f>E9*D9*167</f>
        <v>334</v>
      </c>
      <c r="G9" s="14">
        <f>IF(E9="Yes",D9,0)</f>
        <v>0</v>
      </c>
    </row>
    <row r="10" spans="2:7" x14ac:dyDescent="0.55000000000000004">
      <c r="B10" s="18"/>
      <c r="C10" s="19" t="s">
        <v>40</v>
      </c>
      <c r="D10" s="21">
        <v>3</v>
      </c>
      <c r="E10" s="20">
        <f>'2018-19 funding model v 2.1'!E10</f>
        <v>0</v>
      </c>
      <c r="F10" s="22">
        <f>E10*D10*167</f>
        <v>0</v>
      </c>
      <c r="G10" s="14"/>
    </row>
    <row r="11" spans="2:7" x14ac:dyDescent="0.55000000000000004">
      <c r="B11" s="18"/>
      <c r="C11" s="19" t="s">
        <v>41</v>
      </c>
      <c r="D11" s="21">
        <v>4</v>
      </c>
      <c r="E11" s="20">
        <f>'2018-19 funding model v 2.1'!E11</f>
        <v>1</v>
      </c>
      <c r="F11" s="22">
        <f>E11*D11*167</f>
        <v>668</v>
      </c>
      <c r="G11" s="14">
        <f>IF(E11="Yes",D11,0)</f>
        <v>0</v>
      </c>
    </row>
    <row r="12" spans="2:7" x14ac:dyDescent="0.55000000000000004">
      <c r="B12" s="18"/>
      <c r="C12" s="19" t="s">
        <v>42</v>
      </c>
      <c r="D12" s="21">
        <v>3</v>
      </c>
      <c r="E12" s="20">
        <f>'2018-19 funding model v 2.1'!E12</f>
        <v>0</v>
      </c>
      <c r="F12" s="22">
        <f>E12*D12*167</f>
        <v>0</v>
      </c>
      <c r="G12" s="14">
        <f>IF(E12="Yes",D12,0)</f>
        <v>0</v>
      </c>
    </row>
    <row r="13" spans="2:7" x14ac:dyDescent="0.55000000000000004">
      <c r="B13" s="18"/>
      <c r="C13" s="19"/>
      <c r="D13" s="21"/>
      <c r="E13" s="41"/>
      <c r="F13" s="22"/>
      <c r="G13" s="14"/>
    </row>
    <row r="14" spans="2:7" x14ac:dyDescent="0.55000000000000004">
      <c r="B14" s="18"/>
      <c r="C14" s="25" t="s">
        <v>29</v>
      </c>
      <c r="D14" s="41" t="s">
        <v>1</v>
      </c>
      <c r="E14" s="43" t="s">
        <v>3</v>
      </c>
      <c r="F14" s="26"/>
    </row>
    <row r="15" spans="2:7" x14ac:dyDescent="0.55000000000000004">
      <c r="B15" s="18"/>
      <c r="C15" s="19" t="s">
        <v>0</v>
      </c>
      <c r="D15" s="21">
        <v>2</v>
      </c>
      <c r="E15" s="20" t="str">
        <f>'2018-19 funding model v 2.1'!E15</f>
        <v>Yes</v>
      </c>
      <c r="F15" s="22">
        <f>IF(E15="Yes",D15*167,0)</f>
        <v>334</v>
      </c>
      <c r="G15" s="14">
        <f>IF(E15="Yes",D15,0)</f>
        <v>2</v>
      </c>
    </row>
    <row r="16" spans="2:7" x14ac:dyDescent="0.55000000000000004">
      <c r="B16" s="18"/>
      <c r="C16" s="19" t="s">
        <v>15</v>
      </c>
      <c r="D16" s="21">
        <v>1</v>
      </c>
      <c r="E16" s="20" t="str">
        <f>'2018-19 funding model v 2.1'!E16</f>
        <v>Yes</v>
      </c>
      <c r="F16" s="22">
        <f>IF(E16="Yes",D16*167,0)</f>
        <v>167</v>
      </c>
      <c r="G16" s="14">
        <f>IF(E16="Yes",D16,0)</f>
        <v>1</v>
      </c>
    </row>
    <row r="17" spans="2:7" x14ac:dyDescent="0.55000000000000004">
      <c r="B17" s="18"/>
      <c r="C17" s="19" t="s">
        <v>16</v>
      </c>
      <c r="D17" s="21">
        <v>1.5</v>
      </c>
      <c r="E17" s="20" t="str">
        <f>'2018-19 funding model v 2.1'!E17</f>
        <v>Yes</v>
      </c>
      <c r="F17" s="22">
        <f>IF(E17="Yes",D17*167,0)</f>
        <v>250.5</v>
      </c>
      <c r="G17" s="14">
        <f>IF(E17="Yes",D17,0)</f>
        <v>1.5</v>
      </c>
    </row>
    <row r="18" spans="2:7" x14ac:dyDescent="0.55000000000000004">
      <c r="B18" s="18"/>
      <c r="C18" s="39" t="s">
        <v>22</v>
      </c>
      <c r="D18" s="21">
        <v>1</v>
      </c>
      <c r="E18" s="20" t="str">
        <f>'2018-19 funding model v 2.1'!E18</f>
        <v>No</v>
      </c>
      <c r="F18" s="22">
        <f>IF(E18="Yes",D18*167,0)</f>
        <v>0</v>
      </c>
      <c r="G18" s="14">
        <f>IF(E18="Yes",D18,0)</f>
        <v>0</v>
      </c>
    </row>
    <row r="19" spans="2:7" x14ac:dyDescent="0.55000000000000004">
      <c r="B19" s="18"/>
      <c r="C19" s="46" t="s">
        <v>38</v>
      </c>
      <c r="D19" s="47">
        <f>SUM(G15:G18)+(E12*D12)+(E11*D11)+(E10*D10)+(E9*D9)</f>
        <v>10.5</v>
      </c>
      <c r="E19" s="21"/>
      <c r="F19" s="22"/>
    </row>
    <row r="20" spans="2:7" x14ac:dyDescent="0.55000000000000004">
      <c r="B20" s="18"/>
      <c r="C20" s="19" t="s">
        <v>9</v>
      </c>
      <c r="D20" s="28" t="s">
        <v>6</v>
      </c>
      <c r="E20" s="12" t="str">
        <f>E3</f>
        <v>Yes</v>
      </c>
      <c r="F20" s="22">
        <f>IF(E20="Yes",D19*167,0)</f>
        <v>1753.5</v>
      </c>
    </row>
    <row r="21" spans="2:7" x14ac:dyDescent="0.55000000000000004">
      <c r="B21" s="18"/>
      <c r="C21" s="19" t="s">
        <v>8</v>
      </c>
      <c r="D21" s="28" t="s">
        <v>6</v>
      </c>
      <c r="E21" s="13" t="str">
        <f>E4</f>
        <v>No</v>
      </c>
      <c r="F21" s="22">
        <f>IF(E21="Yes",D19*1.5*167,0)</f>
        <v>0</v>
      </c>
    </row>
    <row r="22" spans="2:7" x14ac:dyDescent="0.55000000000000004">
      <c r="B22" s="18"/>
      <c r="C22" s="23" t="s">
        <v>7</v>
      </c>
      <c r="D22" s="21"/>
      <c r="E22" s="21"/>
      <c r="F22" s="24">
        <f>SUM(F9:F21)</f>
        <v>3507</v>
      </c>
    </row>
    <row r="23" spans="2:7" x14ac:dyDescent="0.55000000000000004">
      <c r="B23" s="18"/>
      <c r="C23" s="23"/>
      <c r="D23" s="21"/>
      <c r="E23" s="21"/>
      <c r="F23" s="24"/>
    </row>
    <row r="24" spans="2:7" x14ac:dyDescent="0.55000000000000004">
      <c r="B24" s="42" t="s">
        <v>25</v>
      </c>
      <c r="C24" s="23"/>
      <c r="D24" s="21"/>
      <c r="E24" s="43" t="s">
        <v>26</v>
      </c>
      <c r="F24" s="24"/>
    </row>
    <row r="25" spans="2:7" x14ac:dyDescent="0.55000000000000004">
      <c r="B25" s="27" t="str">
        <f>'2018-19 funding model v 2.1'!B25</f>
        <v>Reg. Credit</v>
      </c>
      <c r="C25" s="19" t="s">
        <v>20</v>
      </c>
      <c r="D25" s="21">
        <f>IF(B25="Reg. Credit",3387,4959)</f>
        <v>3387</v>
      </c>
      <c r="E25" s="20">
        <f>'2018-19 funding model v 2.1'!E25</f>
        <v>2</v>
      </c>
      <c r="F25" s="22">
        <f>D25*E25</f>
        <v>6774</v>
      </c>
    </row>
    <row r="26" spans="2:7" x14ac:dyDescent="0.55000000000000004">
      <c r="B26" s="29"/>
      <c r="C26" s="19"/>
      <c r="D26" s="21"/>
      <c r="E26" s="21"/>
      <c r="F26" s="30"/>
    </row>
    <row r="27" spans="2:7" ht="15.6" x14ac:dyDescent="0.6">
      <c r="B27" s="29"/>
      <c r="C27" s="31" t="s">
        <v>11</v>
      </c>
      <c r="D27" s="32"/>
      <c r="E27" s="32"/>
      <c r="F27" s="33">
        <f>F6+F22+F25</f>
        <v>11200</v>
      </c>
    </row>
    <row r="28" spans="2:7" ht="23.1" x14ac:dyDescent="0.85">
      <c r="B28" s="34"/>
      <c r="C28" s="35" t="s">
        <v>13</v>
      </c>
      <c r="D28" s="36">
        <f>'2018-19 funding model v 2.1'!D28</f>
        <v>3</v>
      </c>
      <c r="E28" s="49" t="s">
        <v>12</v>
      </c>
      <c r="F28" s="37">
        <f>F27/D28</f>
        <v>3733.3333333333335</v>
      </c>
      <c r="G28" s="7"/>
    </row>
    <row r="29" spans="2:7" x14ac:dyDescent="0.55000000000000004">
      <c r="B29" t="s">
        <v>23</v>
      </c>
    </row>
    <row r="30" spans="2:7" x14ac:dyDescent="0.55000000000000004">
      <c r="C30" s="1"/>
      <c r="D30" s="1"/>
      <c r="E30" s="1"/>
      <c r="F30" s="1"/>
    </row>
    <row r="31" spans="2:7" x14ac:dyDescent="0.55000000000000004">
      <c r="B31" t="s">
        <v>52</v>
      </c>
      <c r="D31" s="2"/>
      <c r="E31" s="2"/>
      <c r="F31" s="2"/>
    </row>
    <row r="32" spans="2:7" x14ac:dyDescent="0.55000000000000004">
      <c r="B32" t="s">
        <v>51</v>
      </c>
      <c r="D32" s="3"/>
      <c r="E32" s="2"/>
      <c r="F32" s="2"/>
    </row>
    <row r="33" spans="2:6" x14ac:dyDescent="0.55000000000000004">
      <c r="B33" t="s">
        <v>43</v>
      </c>
      <c r="D33" s="3"/>
      <c r="E33" s="2"/>
      <c r="F33" s="2"/>
    </row>
    <row r="34" spans="2:6" x14ac:dyDescent="0.55000000000000004">
      <c r="D34" s="2"/>
      <c r="E34" s="2"/>
      <c r="F34" s="2"/>
    </row>
    <row r="35" spans="2:6" x14ac:dyDescent="0.55000000000000004">
      <c r="D35" s="2"/>
      <c r="E35" s="2"/>
      <c r="F35" s="2"/>
    </row>
    <row r="36" spans="2:6" x14ac:dyDescent="0.55000000000000004">
      <c r="D36" s="2"/>
      <c r="E36" s="2"/>
      <c r="F36" s="2"/>
    </row>
    <row r="37" spans="2:6" x14ac:dyDescent="0.55000000000000004">
      <c r="D37" s="2"/>
      <c r="E37" s="2"/>
      <c r="F37" s="2"/>
    </row>
    <row r="38" spans="2:6" x14ac:dyDescent="0.55000000000000004">
      <c r="D38" s="2"/>
      <c r="E38" s="2"/>
      <c r="F38" s="2"/>
    </row>
    <row r="39" spans="2:6" x14ac:dyDescent="0.55000000000000004">
      <c r="D39" s="2"/>
      <c r="E39" s="2"/>
      <c r="F39" s="2"/>
    </row>
    <row r="40" spans="2:6" x14ac:dyDescent="0.55000000000000004">
      <c r="D40" s="2"/>
      <c r="E40" s="2"/>
      <c r="F40" s="2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252EFFB-EF8B-412C-BAA3-C4E6B409AF10}">
          <x14:formula1>
            <xm:f>'Lookup tables'!$A$22:$A$24</xm:f>
          </x14:formula1>
          <xm:sqref>B3</xm:sqref>
        </x14:dataValidation>
        <x14:dataValidation type="list" allowBlank="1" showInputMessage="1" showErrorMessage="1" xr:uid="{8DA1A951-1A60-448C-9E9F-0FFC3EE8D364}">
          <x14:formula1>
            <xm:f>'Lookup tables'!$A$4:$A$13</xm:f>
          </x14:formula1>
          <xm:sqref>E9:E13 E15:E18 E25</xm:sqref>
        </x14:dataValidation>
        <x14:dataValidation type="list" allowBlank="1" showInputMessage="1" showErrorMessage="1" xr:uid="{466362BE-0258-4B9A-BEA5-C598A01DC601}">
          <x14:formula1>
            <xm:f>'Lookup tables'!$A$16:$A$19</xm:f>
          </x14:formula1>
          <xm:sqref>B25</xm:sqref>
        </x14:dataValidation>
        <x14:dataValidation type="list" allowBlank="1" showInputMessage="1" showErrorMessage="1" xr:uid="{55967CC9-A098-42ED-963B-EF49046265E2}">
          <x14:formula1>
            <xm:f>'Lookup tables'!$A$1:$A$2</xm:f>
          </x14:formula1>
          <xm:sqref>E31:E39 E3:E5 E19:E21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E4FC5-4C24-4A14-9D3E-1E4C86F3EBA1}">
  <sheetPr>
    <tabColor theme="9" tint="0.79998168889431442"/>
  </sheetPr>
  <dimension ref="B2:G40"/>
  <sheetViews>
    <sheetView zoomScaleNormal="100" workbookViewId="0">
      <selection activeCell="A29" sqref="A29"/>
    </sheetView>
  </sheetViews>
  <sheetFormatPr defaultRowHeight="14.4" x14ac:dyDescent="0.55000000000000004"/>
  <cols>
    <col min="1" max="1" width="5.41796875" customWidth="1"/>
    <col min="2" max="2" width="13.47265625" customWidth="1"/>
    <col min="3" max="3" width="50.26171875" bestFit="1" customWidth="1"/>
    <col min="4" max="4" width="12.9453125" bestFit="1" customWidth="1"/>
    <col min="5" max="5" width="15.15625" bestFit="1" customWidth="1"/>
    <col min="6" max="6" width="17.15625" bestFit="1" customWidth="1"/>
  </cols>
  <sheetData>
    <row r="2" spans="2:7" x14ac:dyDescent="0.55000000000000004">
      <c r="B2" s="38" t="s">
        <v>30</v>
      </c>
      <c r="C2" s="15" t="s">
        <v>19</v>
      </c>
      <c r="D2" s="16" t="s">
        <v>1</v>
      </c>
      <c r="E2" s="40" t="s">
        <v>3</v>
      </c>
      <c r="F2" s="17" t="s">
        <v>2</v>
      </c>
    </row>
    <row r="3" spans="2:7" x14ac:dyDescent="0.55000000000000004">
      <c r="B3" s="18" t="s">
        <v>33</v>
      </c>
      <c r="C3" s="19" t="s">
        <v>9</v>
      </c>
      <c r="D3" s="20">
        <v>1</v>
      </c>
      <c r="E3" s="20" t="str">
        <f>'2018-19 funding model v 2.1'!E3</f>
        <v>Yes</v>
      </c>
      <c r="F3" s="22">
        <f>IF(E3="Yes",919,0)</f>
        <v>919</v>
      </c>
    </row>
    <row r="4" spans="2:7" x14ac:dyDescent="0.55000000000000004">
      <c r="B4" s="18"/>
      <c r="C4" s="19" t="s">
        <v>8</v>
      </c>
      <c r="D4" s="20">
        <v>1</v>
      </c>
      <c r="E4" s="20" t="str">
        <f>'2018-19 funding model v 2.1'!E4</f>
        <v>No</v>
      </c>
      <c r="F4" s="22">
        <f>IF(E4="Yes",919,0)</f>
        <v>0</v>
      </c>
    </row>
    <row r="5" spans="2:7" x14ac:dyDescent="0.55000000000000004">
      <c r="B5" s="18"/>
      <c r="C5" s="19" t="s">
        <v>14</v>
      </c>
      <c r="D5" s="20">
        <v>1</v>
      </c>
      <c r="E5" s="20" t="str">
        <f>'2018-19 funding model v 2.1'!E5</f>
        <v>No</v>
      </c>
      <c r="F5" s="22">
        <f>IF(E5="Yes",919,0)</f>
        <v>0</v>
      </c>
    </row>
    <row r="6" spans="2:7" x14ac:dyDescent="0.55000000000000004">
      <c r="B6" s="18"/>
      <c r="C6" s="23" t="s">
        <v>10</v>
      </c>
      <c r="D6" s="21"/>
      <c r="E6" s="21"/>
      <c r="F6" s="24">
        <f>SUM(F3:F5)</f>
        <v>919</v>
      </c>
    </row>
    <row r="7" spans="2:7" x14ac:dyDescent="0.55000000000000004">
      <c r="B7" s="18"/>
      <c r="C7" s="23"/>
      <c r="D7" s="21"/>
      <c r="E7" s="21"/>
      <c r="F7" s="24"/>
    </row>
    <row r="8" spans="2:7" x14ac:dyDescent="0.55000000000000004">
      <c r="B8" s="18"/>
      <c r="C8" s="25" t="s">
        <v>28</v>
      </c>
      <c r="D8" s="41" t="s">
        <v>1</v>
      </c>
      <c r="E8" s="43" t="s">
        <v>24</v>
      </c>
      <c r="F8" s="44" t="s">
        <v>2</v>
      </c>
    </row>
    <row r="9" spans="2:7" x14ac:dyDescent="0.55000000000000004">
      <c r="B9" s="18"/>
      <c r="C9" s="19" t="s">
        <v>39</v>
      </c>
      <c r="D9" s="21">
        <v>2</v>
      </c>
      <c r="E9" s="20">
        <f>'2018-19 funding model v 2.1'!E9</f>
        <v>1</v>
      </c>
      <c r="F9" s="22">
        <f>E9*D9*222</f>
        <v>444</v>
      </c>
      <c r="G9" s="14">
        <f>IF(E9="Yes",D9,0)</f>
        <v>0</v>
      </c>
    </row>
    <row r="10" spans="2:7" x14ac:dyDescent="0.55000000000000004">
      <c r="B10" s="18"/>
      <c r="C10" s="19" t="s">
        <v>40</v>
      </c>
      <c r="D10" s="21">
        <v>3</v>
      </c>
      <c r="E10" s="20">
        <f>'2018-19 funding model v 2.1'!E10</f>
        <v>0</v>
      </c>
      <c r="F10" s="22">
        <f>E10*D10*222</f>
        <v>0</v>
      </c>
      <c r="G10" s="14"/>
    </row>
    <row r="11" spans="2:7" x14ac:dyDescent="0.55000000000000004">
      <c r="B11" s="18"/>
      <c r="C11" s="19" t="s">
        <v>41</v>
      </c>
      <c r="D11" s="21">
        <v>4</v>
      </c>
      <c r="E11" s="20">
        <f>'2018-19 funding model v 2.1'!E11</f>
        <v>1</v>
      </c>
      <c r="F11" s="22">
        <f>E11*D11*222</f>
        <v>888</v>
      </c>
      <c r="G11" s="14">
        <f>IF(E11="Yes",D11,0)</f>
        <v>0</v>
      </c>
    </row>
    <row r="12" spans="2:7" x14ac:dyDescent="0.55000000000000004">
      <c r="B12" s="18"/>
      <c r="C12" s="19" t="s">
        <v>42</v>
      </c>
      <c r="D12" s="21">
        <v>3</v>
      </c>
      <c r="E12" s="20">
        <f>'2018-19 funding model v 2.1'!E12</f>
        <v>0</v>
      </c>
      <c r="F12" s="22">
        <f>E12*D12*222</f>
        <v>0</v>
      </c>
      <c r="G12" s="14">
        <f>IF(E12="Yes",D12,0)</f>
        <v>0</v>
      </c>
    </row>
    <row r="13" spans="2:7" x14ac:dyDescent="0.55000000000000004">
      <c r="B13" s="18"/>
      <c r="C13" s="19"/>
      <c r="D13" s="21"/>
      <c r="E13" s="41"/>
      <c r="F13" s="22"/>
      <c r="G13" s="14"/>
    </row>
    <row r="14" spans="2:7" x14ac:dyDescent="0.55000000000000004">
      <c r="B14" s="18"/>
      <c r="C14" s="25" t="s">
        <v>29</v>
      </c>
      <c r="D14" s="41" t="s">
        <v>1</v>
      </c>
      <c r="E14" s="43" t="s">
        <v>3</v>
      </c>
      <c r="F14" s="26"/>
    </row>
    <row r="15" spans="2:7" x14ac:dyDescent="0.55000000000000004">
      <c r="B15" s="18"/>
      <c r="C15" s="19" t="s">
        <v>0</v>
      </c>
      <c r="D15" s="21">
        <v>2</v>
      </c>
      <c r="E15" s="20" t="str">
        <f>'2018-19 funding model v 2.1'!E15</f>
        <v>Yes</v>
      </c>
      <c r="F15" s="22">
        <f>IF(E15="Yes",D15*222,0)</f>
        <v>444</v>
      </c>
      <c r="G15" s="14">
        <f>IF(E15="Yes",D15,0)</f>
        <v>2</v>
      </c>
    </row>
    <row r="16" spans="2:7" x14ac:dyDescent="0.55000000000000004">
      <c r="B16" s="18"/>
      <c r="C16" s="19" t="s">
        <v>15</v>
      </c>
      <c r="D16" s="21">
        <v>1</v>
      </c>
      <c r="E16" s="20" t="str">
        <f>'2018-19 funding model v 2.1'!E16</f>
        <v>Yes</v>
      </c>
      <c r="F16" s="22">
        <f>IF(E16="Yes",D16*222,0)</f>
        <v>222</v>
      </c>
      <c r="G16" s="14">
        <f>IF(E16="Yes",D16,0)</f>
        <v>1</v>
      </c>
    </row>
    <row r="17" spans="2:7" x14ac:dyDescent="0.55000000000000004">
      <c r="B17" s="18"/>
      <c r="C17" s="19" t="s">
        <v>16</v>
      </c>
      <c r="D17" s="21">
        <v>1.5</v>
      </c>
      <c r="E17" s="20" t="str">
        <f>'2018-19 funding model v 2.1'!E17</f>
        <v>Yes</v>
      </c>
      <c r="F17" s="22">
        <f>IF(E17="Yes",D17*222,0)</f>
        <v>333</v>
      </c>
      <c r="G17" s="14">
        <f>IF(E17="Yes",D17,0)</f>
        <v>1.5</v>
      </c>
    </row>
    <row r="18" spans="2:7" x14ac:dyDescent="0.55000000000000004">
      <c r="B18" s="18"/>
      <c r="C18" s="39" t="s">
        <v>22</v>
      </c>
      <c r="D18" s="21">
        <v>1</v>
      </c>
      <c r="E18" s="20" t="str">
        <f>'2018-19 funding model v 2.1'!E18</f>
        <v>No</v>
      </c>
      <c r="F18" s="22">
        <f>IF(E18="Yes",D18*222,0)</f>
        <v>0</v>
      </c>
      <c r="G18" s="14">
        <f>IF(E18="Yes",D18,0)</f>
        <v>0</v>
      </c>
    </row>
    <row r="19" spans="2:7" x14ac:dyDescent="0.55000000000000004">
      <c r="B19" s="18"/>
      <c r="C19" s="46" t="s">
        <v>38</v>
      </c>
      <c r="D19" s="47">
        <f>SUM(G15:G18)+(E12*D12)+(E11*D11)+(E10*D10)+(E9*D9)</f>
        <v>10.5</v>
      </c>
      <c r="E19" s="21"/>
      <c r="F19" s="22"/>
    </row>
    <row r="20" spans="2:7" x14ac:dyDescent="0.55000000000000004">
      <c r="B20" s="18"/>
      <c r="C20" s="19" t="s">
        <v>9</v>
      </c>
      <c r="D20" s="28" t="s">
        <v>6</v>
      </c>
      <c r="E20" s="12" t="str">
        <f>E3</f>
        <v>Yes</v>
      </c>
      <c r="F20" s="22">
        <f>IF(E20="Yes",D19*222,0)</f>
        <v>2331</v>
      </c>
    </row>
    <row r="21" spans="2:7" x14ac:dyDescent="0.55000000000000004">
      <c r="B21" s="18"/>
      <c r="C21" s="19" t="s">
        <v>8</v>
      </c>
      <c r="D21" s="28" t="s">
        <v>6</v>
      </c>
      <c r="E21" s="13" t="str">
        <f>E4</f>
        <v>No</v>
      </c>
      <c r="F21" s="22">
        <f>IF(E21="Yes",D19*1.5*222,0)</f>
        <v>0</v>
      </c>
    </row>
    <row r="22" spans="2:7" x14ac:dyDescent="0.55000000000000004">
      <c r="B22" s="18"/>
      <c r="C22" s="23" t="s">
        <v>7</v>
      </c>
      <c r="D22" s="21"/>
      <c r="E22" s="21"/>
      <c r="F22" s="24">
        <f>SUM(F9:F21)</f>
        <v>4662</v>
      </c>
    </row>
    <row r="23" spans="2:7" x14ac:dyDescent="0.55000000000000004">
      <c r="B23" s="18"/>
      <c r="C23" s="23"/>
      <c r="D23" s="21"/>
      <c r="E23" s="21"/>
      <c r="F23" s="24"/>
    </row>
    <row r="24" spans="2:7" x14ac:dyDescent="0.55000000000000004">
      <c r="B24" s="42" t="s">
        <v>25</v>
      </c>
      <c r="C24" s="23"/>
      <c r="D24" s="21"/>
      <c r="E24" s="43" t="s">
        <v>26</v>
      </c>
      <c r="F24" s="24"/>
    </row>
    <row r="25" spans="2:7" x14ac:dyDescent="0.55000000000000004">
      <c r="B25" s="27" t="str">
        <f>'2018-19 funding model v 2.1'!B25</f>
        <v>Reg. Credit</v>
      </c>
      <c r="C25" s="19" t="s">
        <v>20</v>
      </c>
      <c r="D25" s="21">
        <f>IF(B25="Reg. Credit",3046,4460)</f>
        <v>3046</v>
      </c>
      <c r="E25" s="20">
        <f>'2018-19 funding model v 2.1'!E25</f>
        <v>2</v>
      </c>
      <c r="F25" s="22">
        <f>D25*E25</f>
        <v>6092</v>
      </c>
    </row>
    <row r="26" spans="2:7" x14ac:dyDescent="0.55000000000000004">
      <c r="B26" s="29"/>
      <c r="C26" s="19"/>
      <c r="D26" s="21"/>
      <c r="E26" s="21"/>
      <c r="F26" s="30"/>
    </row>
    <row r="27" spans="2:7" ht="15.6" x14ac:dyDescent="0.6">
      <c r="B27" s="29"/>
      <c r="C27" s="31" t="s">
        <v>11</v>
      </c>
      <c r="D27" s="32"/>
      <c r="E27" s="32"/>
      <c r="F27" s="33">
        <f>F6+F22+F25</f>
        <v>11673</v>
      </c>
    </row>
    <row r="28" spans="2:7" ht="23.1" x14ac:dyDescent="0.85">
      <c r="B28" s="34"/>
      <c r="C28" s="35" t="s">
        <v>13</v>
      </c>
      <c r="D28" s="36">
        <f>'2018-19 funding model v 2.1'!D28</f>
        <v>3</v>
      </c>
      <c r="E28" s="49" t="s">
        <v>12</v>
      </c>
      <c r="F28" s="50">
        <f>F27/D28</f>
        <v>3891</v>
      </c>
      <c r="G28" s="7"/>
    </row>
    <row r="29" spans="2:7" x14ac:dyDescent="0.55000000000000004">
      <c r="B29" t="s">
        <v>23</v>
      </c>
    </row>
    <row r="30" spans="2:7" x14ac:dyDescent="0.55000000000000004">
      <c r="C30" s="1"/>
      <c r="D30" s="1"/>
      <c r="E30" s="1"/>
      <c r="F30" s="1"/>
    </row>
    <row r="31" spans="2:7" x14ac:dyDescent="0.55000000000000004">
      <c r="B31" t="s">
        <v>52</v>
      </c>
      <c r="D31" s="2"/>
      <c r="E31" s="2"/>
      <c r="F31" s="2"/>
    </row>
    <row r="32" spans="2:7" x14ac:dyDescent="0.55000000000000004">
      <c r="B32" t="s">
        <v>51</v>
      </c>
      <c r="D32" s="3"/>
      <c r="E32" s="2"/>
      <c r="F32" s="2"/>
    </row>
    <row r="33" spans="2:6" x14ac:dyDescent="0.55000000000000004">
      <c r="B33" t="s">
        <v>43</v>
      </c>
      <c r="D33" s="3"/>
      <c r="E33" s="2"/>
      <c r="F33" s="2"/>
    </row>
    <row r="34" spans="2:6" x14ac:dyDescent="0.55000000000000004">
      <c r="D34" s="2"/>
      <c r="E34" s="2"/>
      <c r="F34" s="2"/>
    </row>
    <row r="35" spans="2:6" x14ac:dyDescent="0.55000000000000004">
      <c r="D35" s="2"/>
      <c r="E35" s="2"/>
      <c r="F35" s="2"/>
    </row>
    <row r="36" spans="2:6" x14ac:dyDescent="0.55000000000000004">
      <c r="D36" s="2"/>
      <c r="E36" s="2"/>
      <c r="F36" s="2"/>
    </row>
    <row r="37" spans="2:6" x14ac:dyDescent="0.55000000000000004">
      <c r="D37" s="2"/>
      <c r="E37" s="2"/>
      <c r="F37" s="2"/>
    </row>
    <row r="38" spans="2:6" x14ac:dyDescent="0.55000000000000004">
      <c r="D38" s="2"/>
      <c r="E38" s="2"/>
      <c r="F38" s="2"/>
    </row>
    <row r="39" spans="2:6" x14ac:dyDescent="0.55000000000000004">
      <c r="D39" s="2"/>
      <c r="E39" s="2"/>
      <c r="F39" s="2"/>
    </row>
    <row r="40" spans="2:6" x14ac:dyDescent="0.55000000000000004">
      <c r="D40" s="2"/>
      <c r="E40" s="2"/>
      <c r="F40" s="2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0D4DF5C-0506-47DB-9C5E-D62CA8951F1B}">
          <x14:formula1>
            <xm:f>'Lookup tables'!$A$1:$A$2</xm:f>
          </x14:formula1>
          <xm:sqref>E31:E39 E19:E21</xm:sqref>
        </x14:dataValidation>
        <x14:dataValidation type="list" allowBlank="1" showInputMessage="1" showErrorMessage="1" xr:uid="{C827F515-F2D0-474A-9EF0-6FC08927F23C}">
          <x14:formula1>
            <xm:f>'Lookup tables'!$A$16:$A$19</xm:f>
          </x14:formula1>
          <xm:sqref>B25</xm:sqref>
        </x14:dataValidation>
        <x14:dataValidation type="list" allowBlank="1" showInputMessage="1" showErrorMessage="1" xr:uid="{B7AEFED1-8DA1-458E-A0C7-E7DD6C21E16E}">
          <x14:formula1>
            <xm:f>'Lookup tables'!$A$4:$A$13</xm:f>
          </x14:formula1>
          <xm:sqref>E15:E18 E25 E9:E13 E3:E5</xm:sqref>
        </x14:dataValidation>
        <x14:dataValidation type="list" allowBlank="1" showInputMessage="1" showErrorMessage="1" xr:uid="{ED713B45-1B10-4940-81FA-8D982A5877CD}">
          <x14:formula1>
            <xm:f>'Lookup tables'!$A$22:$A$24</xm:f>
          </x14:formula1>
          <xm:sqref>B3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7FDCE-B908-4C0D-A361-489BB169AC4B}">
  <dimension ref="B1:D4"/>
  <sheetViews>
    <sheetView workbookViewId="0">
      <selection activeCell="G21" sqref="G21"/>
    </sheetView>
  </sheetViews>
  <sheetFormatPr defaultRowHeight="14.4" x14ac:dyDescent="0.55000000000000004"/>
  <cols>
    <col min="2" max="2" width="10.7890625" bestFit="1" customWidth="1"/>
    <col min="3" max="3" width="35.68359375" bestFit="1" customWidth="1"/>
    <col min="4" max="4" width="9.7890625" customWidth="1"/>
  </cols>
  <sheetData>
    <row r="1" spans="2:4" x14ac:dyDescent="0.55000000000000004">
      <c r="B1" t="s">
        <v>54</v>
      </c>
      <c r="C1" t="s">
        <v>53</v>
      </c>
      <c r="D1" t="s">
        <v>55</v>
      </c>
    </row>
    <row r="2" spans="2:4" x14ac:dyDescent="0.55000000000000004">
      <c r="B2" t="s">
        <v>31</v>
      </c>
      <c r="C2" s="51">
        <f>'2018-19 funding model v 2.1'!F28</f>
        <v>3568</v>
      </c>
      <c r="D2" s="51">
        <f>C2-C2</f>
        <v>0</v>
      </c>
    </row>
    <row r="3" spans="2:4" x14ac:dyDescent="0.55000000000000004">
      <c r="B3" t="s">
        <v>32</v>
      </c>
      <c r="C3" s="51">
        <f>'2019-20 funding model v 2.1'!F28</f>
        <v>3733.3333333333335</v>
      </c>
      <c r="D3" s="51">
        <f>C3-C2</f>
        <v>165.33333333333348</v>
      </c>
    </row>
    <row r="4" spans="2:4" x14ac:dyDescent="0.55000000000000004">
      <c r="B4" t="s">
        <v>33</v>
      </c>
      <c r="C4" s="51">
        <f>'2020-21 funding model v 2.1'!F28</f>
        <v>3891</v>
      </c>
      <c r="D4" s="51">
        <f>C4-C2</f>
        <v>323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workbookViewId="0"/>
  </sheetViews>
  <sheetFormatPr defaultRowHeight="14.4" x14ac:dyDescent="0.55000000000000004"/>
  <cols>
    <col min="2" max="2" width="89.1015625" style="53" customWidth="1"/>
    <col min="3" max="3" width="16.15625" bestFit="1" customWidth="1"/>
    <col min="4" max="4" width="15.83984375" customWidth="1"/>
    <col min="5" max="5" width="17.15625" bestFit="1" customWidth="1"/>
  </cols>
  <sheetData>
    <row r="1" spans="1:5" ht="18.3" x14ac:dyDescent="0.7">
      <c r="A1" s="58" t="s">
        <v>61</v>
      </c>
    </row>
    <row r="2" spans="1:5" x14ac:dyDescent="0.55000000000000004">
      <c r="A2" s="52"/>
    </row>
    <row r="3" spans="1:5" x14ac:dyDescent="0.55000000000000004">
      <c r="A3" s="52"/>
    </row>
    <row r="4" spans="1:5" x14ac:dyDescent="0.55000000000000004">
      <c r="B4" s="54" t="s">
        <v>57</v>
      </c>
      <c r="C4" s="1"/>
      <c r="D4" s="1"/>
      <c r="E4" s="1"/>
    </row>
    <row r="5" spans="1:5" ht="43.2" x14ac:dyDescent="0.55000000000000004">
      <c r="B5" s="53" t="s">
        <v>58</v>
      </c>
      <c r="C5" s="6"/>
      <c r="D5" s="2"/>
      <c r="E5" s="4"/>
    </row>
    <row r="6" spans="1:5" x14ac:dyDescent="0.55000000000000004">
      <c r="C6" s="6"/>
      <c r="D6" s="2"/>
      <c r="E6" s="4"/>
    </row>
    <row r="7" spans="1:5" x14ac:dyDescent="0.55000000000000004">
      <c r="B7" s="55" t="s">
        <v>56</v>
      </c>
      <c r="C7" s="2"/>
      <c r="D7" s="2"/>
      <c r="E7" s="5"/>
    </row>
    <row r="8" spans="1:5" ht="43.2" x14ac:dyDescent="0.55000000000000004">
      <c r="B8" s="53" t="s">
        <v>59</v>
      </c>
      <c r="C8" s="1"/>
      <c r="D8" s="1"/>
      <c r="E8" s="1"/>
    </row>
    <row r="9" spans="1:5" x14ac:dyDescent="0.55000000000000004">
      <c r="C9" s="2"/>
      <c r="D9" s="2"/>
      <c r="E9" s="4"/>
    </row>
    <row r="10" spans="1:5" x14ac:dyDescent="0.55000000000000004">
      <c r="B10" s="55" t="s">
        <v>60</v>
      </c>
      <c r="C10" s="2"/>
      <c r="D10" s="2"/>
      <c r="E10" s="4"/>
    </row>
    <row r="11" spans="1:5" ht="43.2" x14ac:dyDescent="0.55000000000000004">
      <c r="B11" s="53" t="s">
        <v>62</v>
      </c>
      <c r="C11" s="2"/>
      <c r="D11" s="2"/>
      <c r="E11" s="4"/>
    </row>
    <row r="12" spans="1:5" x14ac:dyDescent="0.55000000000000004">
      <c r="C12" s="2"/>
      <c r="D12" s="2"/>
      <c r="E12" s="4"/>
    </row>
    <row r="13" spans="1:5" x14ac:dyDescent="0.55000000000000004">
      <c r="B13" s="54" t="s">
        <v>63</v>
      </c>
      <c r="C13" s="2"/>
      <c r="D13" s="2"/>
      <c r="E13" s="4"/>
    </row>
    <row r="14" spans="1:5" ht="43.2" x14ac:dyDescent="0.55000000000000004">
      <c r="B14" s="53" t="s">
        <v>64</v>
      </c>
      <c r="C14" s="3"/>
      <c r="D14" s="2"/>
      <c r="E14" s="4"/>
    </row>
    <row r="15" spans="1:5" x14ac:dyDescent="0.55000000000000004">
      <c r="C15" s="3"/>
      <c r="D15" s="2"/>
      <c r="E15" s="4"/>
    </row>
    <row r="16" spans="1:5" x14ac:dyDescent="0.55000000000000004">
      <c r="B16" s="55" t="s">
        <v>65</v>
      </c>
      <c r="C16" s="2"/>
      <c r="D16" s="2"/>
      <c r="E16" s="5"/>
    </row>
    <row r="17" spans="2:6" ht="43.2" x14ac:dyDescent="0.55000000000000004">
      <c r="B17" s="53" t="s">
        <v>66</v>
      </c>
      <c r="C17" s="2"/>
      <c r="D17" s="2"/>
      <c r="E17" s="5"/>
    </row>
    <row r="18" spans="2:6" x14ac:dyDescent="0.55000000000000004">
      <c r="C18" s="2"/>
      <c r="D18" s="2"/>
      <c r="E18" s="4"/>
    </row>
    <row r="19" spans="2:6" x14ac:dyDescent="0.55000000000000004">
      <c r="C19" s="2"/>
      <c r="D19" s="2"/>
      <c r="E19" s="2"/>
    </row>
    <row r="20" spans="2:6" ht="15.6" x14ac:dyDescent="0.6">
      <c r="B20" s="56"/>
      <c r="C20" s="10"/>
      <c r="D20" s="10"/>
      <c r="E20" s="11"/>
    </row>
    <row r="21" spans="2:6" ht="23.1" x14ac:dyDescent="0.85">
      <c r="B21" s="57"/>
      <c r="C21" s="6"/>
      <c r="D21" s="9"/>
      <c r="E21" s="8"/>
      <c r="F21" s="7"/>
    </row>
    <row r="23" spans="2:6" x14ac:dyDescent="0.55000000000000004">
      <c r="B23" s="54"/>
      <c r="C23" s="1"/>
      <c r="D23" s="1"/>
      <c r="E23" s="1"/>
    </row>
    <row r="24" spans="2:6" x14ac:dyDescent="0.55000000000000004">
      <c r="C24" s="2"/>
      <c r="D24" s="2"/>
      <c r="E24" s="2"/>
    </row>
    <row r="25" spans="2:6" x14ac:dyDescent="0.55000000000000004">
      <c r="C25" s="3"/>
      <c r="D25" s="2"/>
      <c r="E25" s="2"/>
    </row>
    <row r="26" spans="2:6" x14ac:dyDescent="0.55000000000000004">
      <c r="C26" s="3"/>
      <c r="D26" s="2"/>
      <c r="E26" s="2"/>
    </row>
    <row r="27" spans="2:6" x14ac:dyDescent="0.55000000000000004">
      <c r="C27" s="2"/>
      <c r="D27" s="2"/>
      <c r="E27" s="2"/>
    </row>
    <row r="28" spans="2:6" x14ac:dyDescent="0.55000000000000004">
      <c r="C28" s="2"/>
      <c r="D28" s="2"/>
      <c r="E28" s="2"/>
    </row>
    <row r="29" spans="2:6" x14ac:dyDescent="0.55000000000000004">
      <c r="C29" s="2"/>
      <c r="D29" s="2"/>
      <c r="E29" s="2"/>
    </row>
    <row r="30" spans="2:6" x14ac:dyDescent="0.55000000000000004">
      <c r="C30" s="2"/>
      <c r="D30" s="2"/>
      <c r="E30" s="2"/>
    </row>
    <row r="31" spans="2:6" x14ac:dyDescent="0.55000000000000004">
      <c r="C31" s="2"/>
      <c r="D31" s="2"/>
      <c r="E31" s="2"/>
    </row>
    <row r="32" spans="2:6" x14ac:dyDescent="0.55000000000000004">
      <c r="C32" s="2"/>
      <c r="D32" s="2"/>
      <c r="E32" s="2"/>
    </row>
    <row r="33" spans="3:5" x14ac:dyDescent="0.55000000000000004">
      <c r="C33" s="2"/>
      <c r="D33" s="2"/>
      <c r="E33" s="2"/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'Lookup tables'!$A$1:$A$2</xm:f>
          </x14:formula1>
          <xm:sqref>D24:D32 D9:D15 D5:D6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4"/>
  <sheetViews>
    <sheetView workbookViewId="0">
      <selection activeCell="B26" sqref="B26"/>
    </sheetView>
  </sheetViews>
  <sheetFormatPr defaultRowHeight="14.4" x14ac:dyDescent="0.55000000000000004"/>
  <cols>
    <col min="2" max="2" width="11.47265625" bestFit="1" customWidth="1"/>
  </cols>
  <sheetData>
    <row r="1" spans="1:1" x14ac:dyDescent="0.55000000000000004">
      <c r="A1" t="s">
        <v>4</v>
      </c>
    </row>
    <row r="2" spans="1:1" x14ac:dyDescent="0.55000000000000004">
      <c r="A2" t="s">
        <v>5</v>
      </c>
    </row>
    <row r="4" spans="1:1" x14ac:dyDescent="0.55000000000000004">
      <c r="A4">
        <v>0</v>
      </c>
    </row>
    <row r="5" spans="1:1" x14ac:dyDescent="0.55000000000000004">
      <c r="A5">
        <v>1</v>
      </c>
    </row>
    <row r="6" spans="1:1" x14ac:dyDescent="0.55000000000000004">
      <c r="A6">
        <v>2</v>
      </c>
    </row>
    <row r="7" spans="1:1" x14ac:dyDescent="0.55000000000000004">
      <c r="A7">
        <v>3</v>
      </c>
    </row>
    <row r="8" spans="1:1" x14ac:dyDescent="0.55000000000000004">
      <c r="A8">
        <v>4</v>
      </c>
    </row>
    <row r="9" spans="1:1" x14ac:dyDescent="0.55000000000000004">
      <c r="A9">
        <v>5</v>
      </c>
    </row>
    <row r="10" spans="1:1" x14ac:dyDescent="0.55000000000000004">
      <c r="A10">
        <v>6</v>
      </c>
    </row>
    <row r="11" spans="1:1" x14ac:dyDescent="0.55000000000000004">
      <c r="A11">
        <v>7</v>
      </c>
    </row>
    <row r="12" spans="1:1" x14ac:dyDescent="0.55000000000000004">
      <c r="A12">
        <v>8</v>
      </c>
    </row>
    <row r="13" spans="1:1" x14ac:dyDescent="0.55000000000000004">
      <c r="A13">
        <v>9</v>
      </c>
    </row>
    <row r="16" spans="1:1" x14ac:dyDescent="0.55000000000000004">
      <c r="A16" t="s">
        <v>17</v>
      </c>
    </row>
    <row r="17" spans="1:5" x14ac:dyDescent="0.55000000000000004">
      <c r="A17" t="s">
        <v>27</v>
      </c>
    </row>
    <row r="18" spans="1:5" x14ac:dyDescent="0.55000000000000004">
      <c r="A18" t="s">
        <v>18</v>
      </c>
    </row>
    <row r="19" spans="1:5" x14ac:dyDescent="0.55000000000000004">
      <c r="A19" t="s">
        <v>21</v>
      </c>
    </row>
    <row r="21" spans="1:5" x14ac:dyDescent="0.55000000000000004">
      <c r="B21" t="s">
        <v>35</v>
      </c>
      <c r="C21" t="s">
        <v>36</v>
      </c>
      <c r="D21" t="s">
        <v>34</v>
      </c>
      <c r="E21" t="s">
        <v>37</v>
      </c>
    </row>
    <row r="22" spans="1:5" x14ac:dyDescent="0.55000000000000004">
      <c r="A22" t="s">
        <v>31</v>
      </c>
      <c r="B22">
        <v>919</v>
      </c>
      <c r="C22">
        <v>111</v>
      </c>
      <c r="D22">
        <v>3727</v>
      </c>
      <c r="E22">
        <v>5457</v>
      </c>
    </row>
    <row r="23" spans="1:5" x14ac:dyDescent="0.55000000000000004">
      <c r="A23" t="s">
        <v>32</v>
      </c>
      <c r="B23">
        <v>919</v>
      </c>
      <c r="C23">
        <v>167</v>
      </c>
      <c r="D23">
        <v>3387</v>
      </c>
      <c r="E23" s="45">
        <f>(1-((D22-D23)/D22))*E22</f>
        <v>4959.1786960021464</v>
      </c>
    </row>
    <row r="24" spans="1:5" x14ac:dyDescent="0.55000000000000004">
      <c r="A24" t="s">
        <v>33</v>
      </c>
      <c r="B24">
        <v>919</v>
      </c>
      <c r="C24">
        <v>222</v>
      </c>
      <c r="D24">
        <v>3046</v>
      </c>
      <c r="E24" s="45">
        <f>(1-((D23-D24)/D23))*E23</f>
        <v>4459.893211698417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2018-19 funding model v 2.1</vt:lpstr>
      <vt:lpstr>2019-20 funding model v 2.1</vt:lpstr>
      <vt:lpstr>2020-21 funding model v 2.1</vt:lpstr>
      <vt:lpstr>Comparative figure</vt:lpstr>
      <vt:lpstr>Student journeys</vt:lpstr>
      <vt:lpstr>Lookup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Hayward</dc:creator>
  <cp:lastModifiedBy>Craig Hayward</cp:lastModifiedBy>
  <dcterms:created xsi:type="dcterms:W3CDTF">2018-09-12T03:00:00Z</dcterms:created>
  <dcterms:modified xsi:type="dcterms:W3CDTF">2018-09-20T16:06:50Z</dcterms:modified>
</cp:coreProperties>
</file>