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fif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ickstrobel/Documents/BC-CCA-disted/Budget/2019/Oct/"/>
    </mc:Choice>
  </mc:AlternateContent>
  <xr:revisionPtr revIDLastSave="0" documentId="13_ncr:1_{FB13CBCE-3C7B-0B4F-8083-6C9DF6018BB9}" xr6:coauthVersionLast="45" xr6:coauthVersionMax="45" xr10:uidLastSave="{00000000-0000-0000-0000-000000000000}"/>
  <bookViews>
    <workbookView xWindow="1660" yWindow="460" windowWidth="28800" windowHeight="15840" activeTab="6" xr2:uid="{6FC8A79B-C384-4BCF-AD64-61B9469E8CDA}"/>
  </bookViews>
  <sheets>
    <sheet name="AllocationModel_NO" sheetId="39" r:id="rId1"/>
    <sheet name="3. Unrestricted Revenue" sheetId="27" r:id="rId2"/>
    <sheet name="2. SCFF College Data " sheetId="25" r:id="rId3"/>
    <sheet name="4. Expenditures" sheetId="37" r:id="rId4"/>
    <sheet name="AllocationModel_C" sheetId="41" r:id="rId5"/>
    <sheet name="AllocationModel_RS" sheetId="42" r:id="rId6"/>
    <sheet name="DistrictwideExp" sheetId="44" r:id="rId7"/>
    <sheet name="DistrictOfficeExp" sheetId="43" r:id="rId8"/>
    <sheet name="SCFF Calculator (District Data)" sheetId="20" state="hidden" r:id="rId9"/>
    <sheet name="District Expenses" sheetId="6" state="hidden" r:id="rId10"/>
    <sheet name="SCFF College Data" sheetId="5" state="hidden" r:id="rId11"/>
    <sheet name="FTES &amp; Headcount Data" sheetId="10" state="hidden" r:id="rId12"/>
  </sheets>
  <externalReferences>
    <externalReference r:id="rId13"/>
  </externalReferences>
  <definedNames>
    <definedName name="Coast_Unrestricted_Total">'[1]2. Unrestricted Revenue (2)'!$P$53</definedName>
    <definedName name="_xlnm.Print_Area" localSheetId="2">'2. SCFF College Data '!$A$1:$W$63</definedName>
    <definedName name="_xlnm.Print_Area" localSheetId="1">'3. Unrestricted Revenue'!$A$1:$P$55</definedName>
    <definedName name="_xlnm.Print_Area" localSheetId="3">'4. Expenditures'!$A$1:$R$31</definedName>
    <definedName name="_xlnm.Print_Area" localSheetId="0">AllocationModel_NO!$A$1:$T$54</definedName>
    <definedName name="_xlnm.Print_Area" localSheetId="8">'SCFF Calculator (District Data)'!$A$1:$H$58</definedName>
    <definedName name="_xlnm.Print_Area" localSheetId="10">'SCFF College Data'!$A$1:$H$49</definedName>
    <definedName name="Restricted_Local_Total" localSheetId="3">'4. Expenditures'!$Q$18</definedName>
    <definedName name="Restricted_Local_Total" localSheetId="0">#REF!</definedName>
    <definedName name="Restricted_Local_Total">#REF!</definedName>
    <definedName name="Restricted_Other_Total" localSheetId="3">'4. Expenditures'!#REF!</definedName>
    <definedName name="Restricted_Other_Total" localSheetId="0">#REF!</definedName>
    <definedName name="Restricted_Other_Total">#REF!</definedName>
    <definedName name="Restricted_State_Total" localSheetId="3">'4. Expenditures'!#REF!</definedName>
    <definedName name="Restricted_State_Total" localSheetId="0">#REF!</definedName>
    <definedName name="Restricted_State_Total">#REF!</definedName>
    <definedName name="Restricted_Total" localSheetId="3">'4. Expenditures'!$Q$30</definedName>
    <definedName name="Restricted_Total" localSheetId="0">#REF!</definedName>
    <definedName name="Restricted_Total">#REF!</definedName>
    <definedName name="Unrestricted_Local_Total">'3. Unrestricted Revenue'!$P$46</definedName>
    <definedName name="Unrestricted_Other_Total">'3. Unrestricted Revenue'!$P$51</definedName>
    <definedName name="Unrestricted_State_Total">'3. Unrestricted Revenue'!$P$15</definedName>
    <definedName name="Unrestricted_Total">'3. Unrestricted Revenue'!$P$53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39" l="1"/>
  <c r="N36" i="39"/>
  <c r="K36" i="39"/>
  <c r="I28" i="44" l="1"/>
  <c r="I26" i="44"/>
  <c r="I24" i="44"/>
  <c r="I23" i="44"/>
  <c r="I9" i="44"/>
  <c r="I10" i="44" s="1"/>
  <c r="I5" i="44"/>
  <c r="I6" i="44" s="1"/>
  <c r="I29" i="44" s="1"/>
  <c r="H588" i="43"/>
  <c r="H586" i="43"/>
  <c r="H585" i="43"/>
  <c r="H578" i="43"/>
  <c r="H574" i="43"/>
  <c r="H565" i="43"/>
  <c r="H559" i="43"/>
  <c r="H579" i="43" s="1"/>
  <c r="H547" i="43"/>
  <c r="H580" i="43" s="1"/>
  <c r="H536" i="43"/>
  <c r="H533" i="43"/>
  <c r="H527" i="43"/>
  <c r="H520" i="43"/>
  <c r="H516" i="43"/>
  <c r="H513" i="43"/>
  <c r="H509" i="43"/>
  <c r="H505" i="43"/>
  <c r="H496" i="43"/>
  <c r="H493" i="43"/>
  <c r="H481" i="43"/>
  <c r="H473" i="43"/>
  <c r="H444" i="43"/>
  <c r="H429" i="43"/>
  <c r="H421" i="43"/>
  <c r="H418" i="43"/>
  <c r="H415" i="43"/>
  <c r="H400" i="43"/>
  <c r="H378" i="43"/>
  <c r="H372" i="43"/>
  <c r="H363" i="43"/>
  <c r="H540" i="43" s="1"/>
  <c r="H541" i="43" s="1"/>
  <c r="H350" i="43"/>
  <c r="H343" i="43"/>
  <c r="H338" i="43"/>
  <c r="H334" i="43"/>
  <c r="H311" i="43"/>
  <c r="H304" i="43"/>
  <c r="H351" i="43" s="1"/>
  <c r="H352" i="43" s="1"/>
  <c r="H296" i="43"/>
  <c r="H261" i="43"/>
  <c r="H297" i="43" s="1"/>
  <c r="H226" i="43"/>
  <c r="H191" i="43"/>
  <c r="H159" i="43"/>
  <c r="H124" i="43"/>
  <c r="H92" i="43"/>
  <c r="H298" i="43" s="1"/>
  <c r="H84" i="43"/>
  <c r="H80" i="43"/>
  <c r="H72" i="43"/>
  <c r="H67" i="43"/>
  <c r="H86" i="43" s="1"/>
  <c r="H59" i="43"/>
  <c r="H52" i="43"/>
  <c r="H30" i="43"/>
  <c r="H7" i="43"/>
  <c r="H8" i="43" s="1"/>
  <c r="H60" i="43" l="1"/>
  <c r="H87" i="43" s="1"/>
  <c r="H589" i="43" s="1"/>
  <c r="K68" i="42"/>
  <c r="J68" i="42"/>
  <c r="I68" i="42"/>
  <c r="H68" i="42"/>
  <c r="G68" i="42" s="1"/>
  <c r="F68" i="42"/>
  <c r="L67" i="42"/>
  <c r="K67" i="42"/>
  <c r="L66" i="42"/>
  <c r="L65" i="42"/>
  <c r="G65" i="42"/>
  <c r="D65" i="42"/>
  <c r="L64" i="42"/>
  <c r="H63" i="42"/>
  <c r="G63" i="42" s="1"/>
  <c r="E63" i="42"/>
  <c r="E68" i="42" s="1"/>
  <c r="D68" i="42" s="1"/>
  <c r="D63" i="42"/>
  <c r="L60" i="42"/>
  <c r="G59" i="42"/>
  <c r="L59" i="42" s="1"/>
  <c r="I52" i="42"/>
  <c r="F52" i="42"/>
  <c r="L51" i="42"/>
  <c r="L50" i="42"/>
  <c r="Q49" i="42"/>
  <c r="L49" i="42"/>
  <c r="L48" i="42"/>
  <c r="S47" i="42"/>
  <c r="R47" i="42"/>
  <c r="K47" i="42"/>
  <c r="L47" i="42" s="1"/>
  <c r="S46" i="42"/>
  <c r="R46" i="42"/>
  <c r="K46" i="42"/>
  <c r="L46" i="42" s="1"/>
  <c r="S45" i="42"/>
  <c r="R45" i="42"/>
  <c r="J44" i="42"/>
  <c r="H44" i="42"/>
  <c r="G44" i="42" s="1"/>
  <c r="E44" i="42"/>
  <c r="D44" i="42"/>
  <c r="L44" i="42" s="1"/>
  <c r="J43" i="42"/>
  <c r="H43" i="42"/>
  <c r="G43" i="42"/>
  <c r="G52" i="42" s="1"/>
  <c r="E43" i="42"/>
  <c r="D43" i="42" s="1"/>
  <c r="L43" i="42" s="1"/>
  <c r="J42" i="42"/>
  <c r="J52" i="42" s="1"/>
  <c r="S41" i="42"/>
  <c r="R41" i="42"/>
  <c r="Q41" i="42"/>
  <c r="P41" i="42"/>
  <c r="L41" i="42"/>
  <c r="H41" i="42"/>
  <c r="H52" i="42" s="1"/>
  <c r="G41" i="42"/>
  <c r="E40" i="42"/>
  <c r="E52" i="42" s="1"/>
  <c r="V39" i="42"/>
  <c r="S39" i="42"/>
  <c r="Q39" i="42"/>
  <c r="W38" i="42"/>
  <c r="T38" i="42"/>
  <c r="P38" i="42"/>
  <c r="W37" i="42"/>
  <c r="T37" i="42"/>
  <c r="P37" i="42"/>
  <c r="W36" i="42"/>
  <c r="T36" i="42"/>
  <c r="P36" i="42"/>
  <c r="W35" i="42"/>
  <c r="T35" i="42"/>
  <c r="P35" i="42"/>
  <c r="W34" i="42"/>
  <c r="R34" i="42"/>
  <c r="P34" i="42"/>
  <c r="L34" i="42"/>
  <c r="W33" i="42"/>
  <c r="W39" i="42" s="1"/>
  <c r="R33" i="42"/>
  <c r="P33" i="42"/>
  <c r="P39" i="42" s="1"/>
  <c r="V29" i="42"/>
  <c r="S29" i="42"/>
  <c r="Q29" i="42"/>
  <c r="W28" i="42"/>
  <c r="T28" i="42"/>
  <c r="P28" i="42"/>
  <c r="W27" i="42"/>
  <c r="T27" i="42"/>
  <c r="S27" i="42"/>
  <c r="P27" i="42"/>
  <c r="I28" i="42" s="1"/>
  <c r="H27" i="42"/>
  <c r="E27" i="42"/>
  <c r="W26" i="42"/>
  <c r="T26" i="42"/>
  <c r="P26" i="42"/>
  <c r="W25" i="42"/>
  <c r="T25" i="42"/>
  <c r="P25" i="42"/>
  <c r="F28" i="42" s="1"/>
  <c r="W24" i="42"/>
  <c r="R24" i="42"/>
  <c r="P24" i="42"/>
  <c r="W23" i="42"/>
  <c r="W29" i="42" s="1"/>
  <c r="R23" i="42"/>
  <c r="P23" i="42"/>
  <c r="P29" i="42" s="1"/>
  <c r="S19" i="42"/>
  <c r="S14" i="42"/>
  <c r="S13" i="42"/>
  <c r="Q11" i="42"/>
  <c r="W10" i="42"/>
  <c r="T10" i="42"/>
  <c r="P10" i="42"/>
  <c r="G10" i="42"/>
  <c r="E10" i="42"/>
  <c r="D10" i="42"/>
  <c r="L10" i="42" s="1"/>
  <c r="T9" i="42"/>
  <c r="S9" i="42"/>
  <c r="I9" i="42"/>
  <c r="H9" i="42"/>
  <c r="G9" i="42" s="1"/>
  <c r="F9" i="42"/>
  <c r="E9" i="42"/>
  <c r="D9" i="42" s="1"/>
  <c r="W8" i="42"/>
  <c r="T8" i="42"/>
  <c r="P8" i="42"/>
  <c r="H8" i="42"/>
  <c r="E8" i="42"/>
  <c r="W7" i="42"/>
  <c r="T7" i="42"/>
  <c r="P7" i="42"/>
  <c r="I7" i="42"/>
  <c r="H7" i="42"/>
  <c r="G7" i="42" s="1"/>
  <c r="F7" i="42"/>
  <c r="E7" i="42"/>
  <c r="D7" i="42"/>
  <c r="W6" i="42"/>
  <c r="R6" i="42"/>
  <c r="P6" i="42"/>
  <c r="L6" i="42"/>
  <c r="G6" i="42"/>
  <c r="D6" i="42"/>
  <c r="W5" i="42"/>
  <c r="R5" i="42"/>
  <c r="P5" i="42"/>
  <c r="D39" i="41"/>
  <c r="M36" i="41"/>
  <c r="J36" i="41"/>
  <c r="G36" i="41"/>
  <c r="S36" i="41" s="1"/>
  <c r="S35" i="41"/>
  <c r="S34" i="41"/>
  <c r="P33" i="41"/>
  <c r="P36" i="41" s="1"/>
  <c r="S32" i="41"/>
  <c r="P32" i="41"/>
  <c r="D25" i="41"/>
  <c r="S25" i="41" s="1"/>
  <c r="E23" i="41"/>
  <c r="P22" i="41"/>
  <c r="Q22" i="41" s="1"/>
  <c r="M22" i="41"/>
  <c r="M23" i="41" s="1"/>
  <c r="N23" i="41" s="1"/>
  <c r="J22" i="41"/>
  <c r="J23" i="41" s="1"/>
  <c r="K23" i="41" s="1"/>
  <c r="G22" i="41"/>
  <c r="S22" i="41" s="1"/>
  <c r="D16" i="41"/>
  <c r="D17" i="41" s="1"/>
  <c r="E39" i="41" s="1"/>
  <c r="D13" i="41"/>
  <c r="S12" i="41"/>
  <c r="E12" i="41" s="1"/>
  <c r="P12" i="41"/>
  <c r="Q12" i="41" s="1"/>
  <c r="M12" i="41"/>
  <c r="K12" i="41"/>
  <c r="J12" i="41"/>
  <c r="G12" i="41"/>
  <c r="S11" i="41"/>
  <c r="H11" i="41" s="1"/>
  <c r="P11" i="41"/>
  <c r="M11" i="41"/>
  <c r="M13" i="41" s="1"/>
  <c r="J11" i="41"/>
  <c r="J13" i="41" s="1"/>
  <c r="S13" i="41" l="1"/>
  <c r="G16" i="41" s="1"/>
  <c r="J16" i="41" s="1"/>
  <c r="N12" i="41"/>
  <c r="E11" i="41"/>
  <c r="N11" i="41"/>
  <c r="H12" i="41"/>
  <c r="G13" i="41"/>
  <c r="G17" i="41" s="1"/>
  <c r="G23" i="41" s="1"/>
  <c r="P23" i="41"/>
  <c r="Q23" i="41" s="1"/>
  <c r="P13" i="41"/>
  <c r="E11" i="42"/>
  <c r="U23" i="42"/>
  <c r="H28" i="42"/>
  <c r="G28" i="42" s="1"/>
  <c r="U24" i="42"/>
  <c r="U34" i="42"/>
  <c r="U33" i="42"/>
  <c r="L63" i="42"/>
  <c r="L68" i="42"/>
  <c r="L7" i="42"/>
  <c r="L9" i="42"/>
  <c r="X24" i="42"/>
  <c r="F27" i="42"/>
  <c r="D27" i="42" s="1"/>
  <c r="H25" i="42"/>
  <c r="E25" i="42"/>
  <c r="I25" i="42"/>
  <c r="K52" i="42"/>
  <c r="W9" i="42"/>
  <c r="W11" i="42" s="1"/>
  <c r="H11" i="42"/>
  <c r="X23" i="42"/>
  <c r="F25" i="42"/>
  <c r="F29" i="42" s="1"/>
  <c r="E28" i="42"/>
  <c r="D28" i="42" s="1"/>
  <c r="L33" i="42"/>
  <c r="L42" i="42"/>
  <c r="P9" i="42"/>
  <c r="S11" i="42"/>
  <c r="D40" i="42"/>
  <c r="E17" i="41"/>
  <c r="Q13" i="41"/>
  <c r="Q16" i="41" s="1"/>
  <c r="P16" i="41" s="1"/>
  <c r="P17" i="41" s="1"/>
  <c r="E22" i="41"/>
  <c r="N22" i="41"/>
  <c r="H22" i="41"/>
  <c r="K13" i="41"/>
  <c r="K16" i="41" s="1"/>
  <c r="K22" i="41"/>
  <c r="E28" i="41"/>
  <c r="S33" i="41"/>
  <c r="H13" i="41"/>
  <c r="K11" i="41"/>
  <c r="Q11" i="41"/>
  <c r="E16" i="41"/>
  <c r="E13" i="41"/>
  <c r="J17" i="41" l="1"/>
  <c r="N13" i="41"/>
  <c r="N16" i="41" s="1"/>
  <c r="M16" i="41" s="1"/>
  <c r="M17" i="41" s="1"/>
  <c r="X10" i="42"/>
  <c r="Y10" i="42" s="1"/>
  <c r="X5" i="42"/>
  <c r="Y5" i="42" s="1"/>
  <c r="X7" i="42"/>
  <c r="Y7" i="42" s="1"/>
  <c r="X8" i="42"/>
  <c r="Y8" i="42" s="1"/>
  <c r="X6" i="42"/>
  <c r="Y6" i="42" s="1"/>
  <c r="P11" i="42"/>
  <c r="U6" i="42" s="1"/>
  <c r="H26" i="42" s="1"/>
  <c r="G25" i="42"/>
  <c r="L40" i="42"/>
  <c r="L52" i="42" s="1"/>
  <c r="D52" i="42"/>
  <c r="D53" i="42" s="1"/>
  <c r="X9" i="42"/>
  <c r="Y9" i="42" s="1"/>
  <c r="L28" i="42"/>
  <c r="D25" i="42"/>
  <c r="H23" i="41"/>
  <c r="S16" i="41" l="1"/>
  <c r="S17" i="41" s="1"/>
  <c r="G26" i="42"/>
  <c r="H29" i="42"/>
  <c r="I53" i="42"/>
  <c r="F53" i="42"/>
  <c r="E53" i="42"/>
  <c r="G53" i="42"/>
  <c r="H53" i="42"/>
  <c r="J53" i="42"/>
  <c r="K53" i="42"/>
  <c r="L25" i="42"/>
  <c r="F20" i="42"/>
  <c r="F19" i="42"/>
  <c r="E18" i="42"/>
  <c r="H16" i="42"/>
  <c r="E20" i="42"/>
  <c r="D20" i="42" s="1"/>
  <c r="E19" i="42"/>
  <c r="D19" i="42" s="1"/>
  <c r="H18" i="42"/>
  <c r="F15" i="42"/>
  <c r="F18" i="42"/>
  <c r="H20" i="42"/>
  <c r="H19" i="42"/>
  <c r="F16" i="42"/>
  <c r="E15" i="42"/>
  <c r="D15" i="42" s="1"/>
  <c r="F8" i="42"/>
  <c r="E16" i="42"/>
  <c r="I8" i="42"/>
  <c r="I16" i="42"/>
  <c r="H15" i="42"/>
  <c r="U5" i="42"/>
  <c r="E26" i="42" s="1"/>
  <c r="I18" i="42"/>
  <c r="I27" i="42"/>
  <c r="I15" i="42"/>
  <c r="I19" i="42"/>
  <c r="I20" i="42"/>
  <c r="S28" i="41" l="1"/>
  <c r="H17" i="41"/>
  <c r="H25" i="41" s="1"/>
  <c r="G25" i="41" s="1"/>
  <c r="G28" i="41" s="1"/>
  <c r="E25" i="41"/>
  <c r="Q17" i="41"/>
  <c r="Q25" i="41" s="1"/>
  <c r="P25" i="41" s="1"/>
  <c r="P28" i="41" s="1"/>
  <c r="K17" i="41"/>
  <c r="K25" i="41" s="1"/>
  <c r="J25" i="41" s="1"/>
  <c r="J28" i="41" s="1"/>
  <c r="N17" i="41"/>
  <c r="N25" i="41" s="1"/>
  <c r="M25" i="41" s="1"/>
  <c r="M28" i="41" s="1"/>
  <c r="G16" i="42"/>
  <c r="D26" i="42"/>
  <c r="E29" i="42"/>
  <c r="D16" i="42"/>
  <c r="G19" i="42"/>
  <c r="L19" i="42" s="1"/>
  <c r="G18" i="42"/>
  <c r="D18" i="42"/>
  <c r="L18" i="42" s="1"/>
  <c r="G27" i="42"/>
  <c r="L27" i="42" s="1"/>
  <c r="I29" i="42"/>
  <c r="G8" i="42"/>
  <c r="G11" i="42" s="1"/>
  <c r="I11" i="42"/>
  <c r="G15" i="42"/>
  <c r="L15" i="42" s="1"/>
  <c r="F11" i="42"/>
  <c r="D8" i="42"/>
  <c r="G20" i="42"/>
  <c r="L20" i="42" s="1"/>
  <c r="P39" i="41" l="1"/>
  <c r="Q39" i="41" s="1"/>
  <c r="Q28" i="41"/>
  <c r="M39" i="41"/>
  <c r="N39" i="41" s="1"/>
  <c r="N28" i="41"/>
  <c r="H28" i="41"/>
  <c r="G39" i="41"/>
  <c r="J39" i="41"/>
  <c r="K39" i="41" s="1"/>
  <c r="K28" i="41"/>
  <c r="L8" i="42"/>
  <c r="L11" i="42" s="1"/>
  <c r="D11" i="42"/>
  <c r="L16" i="42"/>
  <c r="G29" i="42"/>
  <c r="L26" i="42"/>
  <c r="L29" i="42" s="1"/>
  <c r="D29" i="42"/>
  <c r="S39" i="41" l="1"/>
  <c r="H39" i="41"/>
  <c r="E14" i="42"/>
  <c r="E13" i="42"/>
  <c r="H13" i="42"/>
  <c r="H14" i="42"/>
  <c r="G14" i="42" s="1"/>
  <c r="F14" i="42"/>
  <c r="I13" i="42"/>
  <c r="I14" i="42"/>
  <c r="F13" i="42"/>
  <c r="F21" i="42" s="1"/>
  <c r="D13" i="42" l="1"/>
  <c r="E21" i="42"/>
  <c r="F31" i="42"/>
  <c r="F22" i="42"/>
  <c r="G13" i="42"/>
  <c r="H21" i="42"/>
  <c r="I21" i="42"/>
  <c r="D14" i="42"/>
  <c r="L14" i="42" s="1"/>
  <c r="I31" i="42" l="1"/>
  <c r="I32" i="42" s="1"/>
  <c r="I22" i="42"/>
  <c r="L13" i="42"/>
  <c r="L21" i="42" s="1"/>
  <c r="H22" i="42"/>
  <c r="G21" i="42"/>
  <c r="G22" i="42" s="1"/>
  <c r="H31" i="42"/>
  <c r="E31" i="42"/>
  <c r="D21" i="42"/>
  <c r="D22" i="42" s="1"/>
  <c r="E22" i="42"/>
  <c r="E32" i="42" l="1"/>
  <c r="D31" i="42"/>
  <c r="F32" i="42"/>
  <c r="H32" i="42"/>
  <c r="G31" i="42"/>
  <c r="L31" i="42" l="1"/>
  <c r="L35" i="42" s="1"/>
  <c r="F37" i="42" l="1"/>
  <c r="F55" i="42" s="1"/>
  <c r="F70" i="42" s="1"/>
  <c r="I37" i="42"/>
  <c r="I55" i="42" s="1"/>
  <c r="I70" i="42" s="1"/>
  <c r="E37" i="42"/>
  <c r="E55" i="42" s="1"/>
  <c r="E70" i="42" s="1"/>
  <c r="D70" i="42" s="1"/>
  <c r="L70" i="42" s="1"/>
  <c r="H37" i="42"/>
  <c r="H55" i="42" s="1"/>
  <c r="H70" i="42" s="1"/>
  <c r="G70" i="42" s="1"/>
  <c r="D32" i="42"/>
  <c r="G32" i="42"/>
  <c r="G34" i="42" l="1"/>
  <c r="G33" i="42"/>
  <c r="D34" i="42"/>
  <c r="D33" i="42"/>
  <c r="D37" i="42" s="1"/>
  <c r="D55" i="42" l="1"/>
  <c r="L55" i="42" s="1"/>
  <c r="G37" i="42"/>
  <c r="G55" i="42" s="1"/>
  <c r="L37" i="42" l="1"/>
  <c r="P33" i="39" l="1"/>
  <c r="K27" i="37"/>
  <c r="N17" i="37"/>
  <c r="K17" i="37"/>
  <c r="E17" i="37"/>
  <c r="E12" i="25" l="1"/>
  <c r="I13" i="25" l="1"/>
  <c r="G10" i="25" l="1"/>
  <c r="F51" i="25"/>
  <c r="F50" i="25"/>
  <c r="F49" i="25"/>
  <c r="F48" i="25"/>
  <c r="F47" i="25"/>
  <c r="F46" i="25"/>
  <c r="F45" i="25"/>
  <c r="F44" i="25"/>
  <c r="F42" i="25"/>
  <c r="F41" i="25"/>
  <c r="F40" i="25"/>
  <c r="F39" i="25"/>
  <c r="F38" i="25"/>
  <c r="F37" i="25"/>
  <c r="F36" i="25"/>
  <c r="F35" i="25"/>
  <c r="F33" i="25"/>
  <c r="F32" i="25"/>
  <c r="F31" i="25"/>
  <c r="F30" i="25"/>
  <c r="F29" i="25"/>
  <c r="F27" i="25"/>
  <c r="F28" i="25"/>
  <c r="F26" i="25"/>
  <c r="F23" i="25"/>
  <c r="F22" i="25"/>
  <c r="F21" i="25"/>
  <c r="D11" i="20"/>
  <c r="J10" i="25" l="1"/>
  <c r="N10" i="25"/>
  <c r="M13" i="25"/>
  <c r="U13" i="25" s="1"/>
  <c r="S36" i="39" l="1"/>
  <c r="M37" i="39"/>
  <c r="J37" i="39"/>
  <c r="G37" i="39"/>
  <c r="P15" i="27"/>
  <c r="Q11" i="37" l="1"/>
  <c r="I11" i="37" s="1"/>
  <c r="E31" i="25"/>
  <c r="U14" i="25"/>
  <c r="F18" i="25"/>
  <c r="F17" i="25"/>
  <c r="F16" i="25"/>
  <c r="F15" i="25"/>
  <c r="F14" i="25"/>
  <c r="F12" i="25"/>
  <c r="J13" i="25" s="1"/>
  <c r="Q31" i="25" l="1"/>
  <c r="M31" i="25"/>
  <c r="I31" i="25"/>
  <c r="U31" i="25" s="1"/>
  <c r="D49" i="20"/>
  <c r="D40" i="20"/>
  <c r="D31" i="20"/>
  <c r="D15" i="20"/>
  <c r="D16" i="20" s="1"/>
  <c r="D50" i="20" l="1"/>
  <c r="F48" i="20"/>
  <c r="F47" i="20"/>
  <c r="F46" i="20"/>
  <c r="F45" i="20"/>
  <c r="F44" i="20"/>
  <c r="F43" i="20"/>
  <c r="F42" i="20"/>
  <c r="F41" i="20"/>
  <c r="F39" i="20"/>
  <c r="F38" i="20"/>
  <c r="F37" i="20"/>
  <c r="F36" i="20"/>
  <c r="F35" i="20"/>
  <c r="F34" i="20"/>
  <c r="F33" i="20"/>
  <c r="F32" i="20"/>
  <c r="F30" i="20"/>
  <c r="F29" i="20"/>
  <c r="F28" i="20"/>
  <c r="F27" i="20"/>
  <c r="F26" i="20"/>
  <c r="F25" i="20"/>
  <c r="F24" i="20"/>
  <c r="F23" i="20"/>
  <c r="F20" i="20"/>
  <c r="F19" i="20"/>
  <c r="F18" i="20"/>
  <c r="F21" i="20" s="1"/>
  <c r="F14" i="20"/>
  <c r="F13" i="20"/>
  <c r="F12" i="20"/>
  <c r="F10" i="20"/>
  <c r="F9" i="20"/>
  <c r="F8" i="20"/>
  <c r="F11" i="20" l="1"/>
  <c r="F49" i="20"/>
  <c r="F40" i="20"/>
  <c r="F31" i="20"/>
  <c r="F15" i="20"/>
  <c r="F50" i="20" l="1"/>
  <c r="F54" i="20" s="1"/>
  <c r="F16" i="20"/>
  <c r="E46" i="25"/>
  <c r="E45" i="25"/>
  <c r="E37" i="25"/>
  <c r="E36" i="25"/>
  <c r="E28" i="25"/>
  <c r="E27" i="25"/>
  <c r="F55" i="20" l="1"/>
  <c r="S35" i="39"/>
  <c r="P34" i="39"/>
  <c r="S34" i="39" l="1"/>
  <c r="P37" i="39"/>
  <c r="S37" i="39" s="1"/>
  <c r="S33" i="39"/>
  <c r="N28" i="37" l="1"/>
  <c r="K28" i="37"/>
  <c r="H28" i="37"/>
  <c r="Q27" i="37"/>
  <c r="L27" i="37" s="1"/>
  <c r="Q26" i="37"/>
  <c r="O26" i="37" s="1"/>
  <c r="Q25" i="37"/>
  <c r="L25" i="37" s="1"/>
  <c r="Q24" i="37"/>
  <c r="O24" i="37" s="1"/>
  <c r="Q23" i="37"/>
  <c r="I23" i="37" s="1"/>
  <c r="Q22" i="37"/>
  <c r="L22" i="37" s="1"/>
  <c r="Q21" i="37"/>
  <c r="L21" i="37" s="1"/>
  <c r="Q16" i="37"/>
  <c r="I16" i="37" s="1"/>
  <c r="Q15" i="37"/>
  <c r="L15" i="37" s="1"/>
  <c r="F28" i="37"/>
  <c r="E28" i="37"/>
  <c r="G12" i="39"/>
  <c r="L16" i="37" l="1"/>
  <c r="O16" i="37"/>
  <c r="O15" i="37"/>
  <c r="I15" i="37"/>
  <c r="D13" i="39"/>
  <c r="G13" i="39"/>
  <c r="O27" i="37"/>
  <c r="O21" i="37"/>
  <c r="O23" i="37"/>
  <c r="I27" i="37"/>
  <c r="O22" i="37"/>
  <c r="O25" i="37"/>
  <c r="L23" i="37"/>
  <c r="Q28" i="37"/>
  <c r="O28" i="37" s="1"/>
  <c r="I24" i="37"/>
  <c r="I26" i="37"/>
  <c r="L24" i="37"/>
  <c r="L26" i="37"/>
  <c r="I21" i="37"/>
  <c r="I22" i="37"/>
  <c r="I25" i="37"/>
  <c r="L28" i="37" l="1"/>
  <c r="I28" i="37"/>
  <c r="N18" i="37" l="1"/>
  <c r="N30" i="37" s="1"/>
  <c r="P25" i="39" s="1"/>
  <c r="P26" i="39" s="1"/>
  <c r="K18" i="37"/>
  <c r="K30" i="37" s="1"/>
  <c r="M25" i="39" s="1"/>
  <c r="M26" i="39" s="1"/>
  <c r="H18" i="37"/>
  <c r="H30" i="37" s="1"/>
  <c r="J25" i="39" s="1"/>
  <c r="J26" i="39" s="1"/>
  <c r="F18" i="37"/>
  <c r="F30" i="37" s="1"/>
  <c r="G25" i="39" s="1"/>
  <c r="E18" i="37"/>
  <c r="E30" i="37" l="1"/>
  <c r="G26" i="39"/>
  <c r="Q17" i="37"/>
  <c r="O17" i="37" s="1"/>
  <c r="Q14" i="37"/>
  <c r="I14" i="37" s="1"/>
  <c r="Q13" i="37"/>
  <c r="O13" i="37" s="1"/>
  <c r="Q12" i="37"/>
  <c r="O12" i="37" l="1"/>
  <c r="Q18" i="37"/>
  <c r="Q30" i="37" s="1"/>
  <c r="D25" i="39"/>
  <c r="D26" i="39" s="1"/>
  <c r="D20" i="39"/>
  <c r="O11" i="37"/>
  <c r="I13" i="37"/>
  <c r="L13" i="37"/>
  <c r="L14" i="37"/>
  <c r="O14" i="37"/>
  <c r="L11" i="37"/>
  <c r="I12" i="37"/>
  <c r="I17" i="37"/>
  <c r="L12" i="37"/>
  <c r="L17" i="37"/>
  <c r="O18" i="37" l="1"/>
  <c r="I18" i="37"/>
  <c r="L18" i="37"/>
  <c r="S25" i="39" l="1"/>
  <c r="S26" i="39" s="1"/>
  <c r="O30" i="37"/>
  <c r="I30" i="37"/>
  <c r="L30" i="37"/>
  <c r="H25" i="39" l="1"/>
  <c r="N25" i="39"/>
  <c r="K25" i="39"/>
  <c r="E25" i="39"/>
  <c r="Q25" i="39"/>
  <c r="U46" i="25" l="1"/>
  <c r="N46" i="25"/>
  <c r="J46" i="25"/>
  <c r="U37" i="25"/>
  <c r="N37" i="25"/>
  <c r="J37" i="25"/>
  <c r="U28" i="25"/>
  <c r="R28" i="25"/>
  <c r="N28" i="25"/>
  <c r="J28" i="25"/>
  <c r="V28" i="25" l="1"/>
  <c r="O28" i="25" s="1"/>
  <c r="K28" i="25"/>
  <c r="S28" i="25"/>
  <c r="P45" i="27" l="1"/>
  <c r="P44" i="27"/>
  <c r="P43" i="27"/>
  <c r="N43" i="27" s="1"/>
  <c r="P41" i="27"/>
  <c r="N41" i="27" s="1"/>
  <c r="P40" i="27"/>
  <c r="N40" i="27" s="1"/>
  <c r="P39" i="27"/>
  <c r="N39" i="27" s="1"/>
  <c r="P38" i="27"/>
  <c r="N38" i="27" s="1"/>
  <c r="P37" i="27"/>
  <c r="N37" i="27" s="1"/>
  <c r="P35" i="27"/>
  <c r="P34" i="27"/>
  <c r="P33" i="27"/>
  <c r="N33" i="27" s="1"/>
  <c r="P31" i="27"/>
  <c r="N31" i="27" s="1"/>
  <c r="P29" i="27"/>
  <c r="N29" i="27" s="1"/>
  <c r="P28" i="27"/>
  <c r="N28" i="27" s="1"/>
  <c r="P27" i="27"/>
  <c r="N27" i="27" s="1"/>
  <c r="P26" i="27"/>
  <c r="N26" i="27" s="1"/>
  <c r="P25" i="27"/>
  <c r="N25" i="27" s="1"/>
  <c r="H35" i="27" l="1"/>
  <c r="N35" i="27"/>
  <c r="K35" i="27"/>
  <c r="N34" i="27"/>
  <c r="K34" i="27"/>
  <c r="H34" i="27"/>
  <c r="K28" i="27"/>
  <c r="H28" i="27"/>
  <c r="K33" i="27"/>
  <c r="H33" i="27"/>
  <c r="K29" i="27"/>
  <c r="H29" i="27"/>
  <c r="K37" i="27"/>
  <c r="H37" i="27"/>
  <c r="K25" i="27"/>
  <c r="H25" i="27"/>
  <c r="H26" i="27"/>
  <c r="K26" i="27"/>
  <c r="H39" i="27"/>
  <c r="K39" i="27"/>
  <c r="K40" i="27"/>
  <c r="H40" i="27"/>
  <c r="K41" i="27"/>
  <c r="H41" i="27"/>
  <c r="K31" i="27"/>
  <c r="H31" i="27"/>
  <c r="K27" i="27"/>
  <c r="H27" i="27"/>
  <c r="H38" i="27"/>
  <c r="K38" i="27"/>
  <c r="E15" i="27" l="1"/>
  <c r="D15" i="27"/>
  <c r="E51" i="27"/>
  <c r="D51" i="27"/>
  <c r="P50" i="27"/>
  <c r="N50" i="27" s="1"/>
  <c r="E46" i="27"/>
  <c r="D46" i="27"/>
  <c r="K45" i="27"/>
  <c r="N44" i="27"/>
  <c r="K43" i="27"/>
  <c r="P24" i="27"/>
  <c r="N24" i="27" s="1"/>
  <c r="P23" i="27"/>
  <c r="H23" i="27" s="1"/>
  <c r="P22" i="27"/>
  <c r="N22" i="27" s="1"/>
  <c r="P21" i="27"/>
  <c r="K21" i="27" s="1"/>
  <c r="P20" i="27"/>
  <c r="H20" i="27" s="1"/>
  <c r="P19" i="27"/>
  <c r="K19" i="27" s="1"/>
  <c r="P18" i="27"/>
  <c r="V10" i="25"/>
  <c r="G12" i="25"/>
  <c r="N13" i="25"/>
  <c r="R13" i="25"/>
  <c r="E14" i="25"/>
  <c r="G14" i="25" s="1"/>
  <c r="J14" i="25"/>
  <c r="N14" i="25"/>
  <c r="R14" i="25"/>
  <c r="E15" i="25"/>
  <c r="G15" i="25" s="1"/>
  <c r="J15" i="25"/>
  <c r="N15" i="25"/>
  <c r="R15" i="25"/>
  <c r="U15" i="25"/>
  <c r="E16" i="25"/>
  <c r="G16" i="25" s="1"/>
  <c r="J16" i="25"/>
  <c r="N16" i="25"/>
  <c r="R16" i="25"/>
  <c r="U16" i="25"/>
  <c r="E17" i="25"/>
  <c r="G17" i="25" s="1"/>
  <c r="J17" i="25"/>
  <c r="N17" i="25"/>
  <c r="R17" i="25"/>
  <c r="U17" i="25"/>
  <c r="E18" i="25"/>
  <c r="G18" i="25" s="1"/>
  <c r="J18" i="25"/>
  <c r="N18" i="25"/>
  <c r="R18" i="25"/>
  <c r="U18" i="25"/>
  <c r="I19" i="25"/>
  <c r="M19" i="25"/>
  <c r="Q19" i="25"/>
  <c r="E21" i="25"/>
  <c r="G21" i="25" s="1"/>
  <c r="J21" i="25"/>
  <c r="N21" i="25"/>
  <c r="R21" i="25"/>
  <c r="U21" i="25"/>
  <c r="E22" i="25"/>
  <c r="G22" i="25" s="1"/>
  <c r="J22" i="25"/>
  <c r="N22" i="25"/>
  <c r="R22" i="25"/>
  <c r="U22" i="25"/>
  <c r="E23" i="25"/>
  <c r="G23" i="25" s="1"/>
  <c r="J23" i="25"/>
  <c r="N23" i="25"/>
  <c r="R23" i="25"/>
  <c r="U23" i="25"/>
  <c r="I24" i="25"/>
  <c r="M24" i="25"/>
  <c r="Q24" i="25"/>
  <c r="E26" i="25"/>
  <c r="G26" i="25" s="1"/>
  <c r="J26" i="25"/>
  <c r="N26" i="25"/>
  <c r="R26" i="25"/>
  <c r="U26" i="25"/>
  <c r="G27" i="25"/>
  <c r="J27" i="25"/>
  <c r="N27" i="25"/>
  <c r="R27" i="25"/>
  <c r="U27" i="25"/>
  <c r="G28" i="25"/>
  <c r="E29" i="25"/>
  <c r="G29" i="25" s="1"/>
  <c r="J29" i="25"/>
  <c r="N29" i="25"/>
  <c r="R29" i="25"/>
  <c r="U29" i="25"/>
  <c r="E30" i="25"/>
  <c r="G30" i="25" s="1"/>
  <c r="J30" i="25"/>
  <c r="N30" i="25"/>
  <c r="R30" i="25"/>
  <c r="U30" i="25"/>
  <c r="G31" i="25"/>
  <c r="J31" i="25"/>
  <c r="N31" i="25"/>
  <c r="R31" i="25"/>
  <c r="E32" i="25"/>
  <c r="G32" i="25" s="1"/>
  <c r="J32" i="25"/>
  <c r="N32" i="25"/>
  <c r="R32" i="25"/>
  <c r="U32" i="25"/>
  <c r="E33" i="25"/>
  <c r="G33" i="25" s="1"/>
  <c r="J33" i="25"/>
  <c r="N33" i="25"/>
  <c r="R33" i="25"/>
  <c r="U33" i="25"/>
  <c r="I34" i="25"/>
  <c r="M34" i="25"/>
  <c r="Q34" i="25"/>
  <c r="E35" i="25"/>
  <c r="G35" i="25" s="1"/>
  <c r="J35" i="25"/>
  <c r="N35" i="25"/>
  <c r="R35" i="25"/>
  <c r="U35" i="25"/>
  <c r="J36" i="25"/>
  <c r="N36" i="25"/>
  <c r="R36" i="25"/>
  <c r="U36" i="25"/>
  <c r="G37" i="25"/>
  <c r="R37" i="25"/>
  <c r="E38" i="25"/>
  <c r="G38" i="25" s="1"/>
  <c r="J38" i="25"/>
  <c r="N38" i="25"/>
  <c r="R38" i="25"/>
  <c r="U38" i="25"/>
  <c r="E39" i="25"/>
  <c r="G39" i="25" s="1"/>
  <c r="J39" i="25"/>
  <c r="N39" i="25"/>
  <c r="R39" i="25"/>
  <c r="U39" i="25"/>
  <c r="E40" i="25"/>
  <c r="R40" i="25"/>
  <c r="E41" i="25"/>
  <c r="G41" i="25" s="1"/>
  <c r="J41" i="25"/>
  <c r="N41" i="25"/>
  <c r="R41" i="25"/>
  <c r="U41" i="25"/>
  <c r="E42" i="25"/>
  <c r="G42" i="25" s="1"/>
  <c r="J42" i="25"/>
  <c r="N42" i="25"/>
  <c r="R42" i="25"/>
  <c r="U42" i="25"/>
  <c r="Q43" i="25"/>
  <c r="E44" i="25"/>
  <c r="G44" i="25" s="1"/>
  <c r="J44" i="25"/>
  <c r="N44" i="25"/>
  <c r="R44" i="25"/>
  <c r="U44" i="25"/>
  <c r="J45" i="25"/>
  <c r="N45" i="25"/>
  <c r="R45" i="25"/>
  <c r="U45" i="25"/>
  <c r="G46" i="25"/>
  <c r="R46" i="25"/>
  <c r="E47" i="25"/>
  <c r="G47" i="25" s="1"/>
  <c r="J47" i="25"/>
  <c r="N47" i="25"/>
  <c r="R47" i="25"/>
  <c r="U47" i="25"/>
  <c r="E48" i="25"/>
  <c r="G48" i="25" s="1"/>
  <c r="J48" i="25"/>
  <c r="N48" i="25"/>
  <c r="R48" i="25"/>
  <c r="U48" i="25"/>
  <c r="E49" i="25"/>
  <c r="M49" i="25" s="1"/>
  <c r="R49" i="25"/>
  <c r="E50" i="25"/>
  <c r="G50" i="25" s="1"/>
  <c r="J50" i="25"/>
  <c r="N50" i="25"/>
  <c r="R50" i="25"/>
  <c r="U50" i="25"/>
  <c r="E51" i="25"/>
  <c r="G51" i="25" s="1"/>
  <c r="J51" i="25"/>
  <c r="N51" i="25"/>
  <c r="R51" i="25"/>
  <c r="U51" i="25"/>
  <c r="Q52" i="25"/>
  <c r="G49" i="25" l="1"/>
  <c r="I49" i="25"/>
  <c r="G40" i="25"/>
  <c r="M40" i="25"/>
  <c r="I40" i="25"/>
  <c r="K18" i="27"/>
  <c r="H18" i="27"/>
  <c r="U34" i="25"/>
  <c r="V14" i="25"/>
  <c r="K14" i="25" s="1"/>
  <c r="V13" i="25"/>
  <c r="K13" i="25" s="1"/>
  <c r="K57" i="25" s="1"/>
  <c r="V46" i="25"/>
  <c r="S46" i="25" s="1"/>
  <c r="G34" i="25"/>
  <c r="V37" i="25"/>
  <c r="S37" i="25" s="1"/>
  <c r="V51" i="25"/>
  <c r="O51" i="25" s="1"/>
  <c r="V41" i="25"/>
  <c r="O41" i="25" s="1"/>
  <c r="V17" i="25"/>
  <c r="K17" i="25" s="1"/>
  <c r="V44" i="25"/>
  <c r="V42" i="25"/>
  <c r="K42" i="25" s="1"/>
  <c r="H43" i="27"/>
  <c r="K23" i="27"/>
  <c r="N18" i="27"/>
  <c r="K22" i="27"/>
  <c r="H22" i="27"/>
  <c r="H19" i="27"/>
  <c r="H24" i="27"/>
  <c r="N19" i="27"/>
  <c r="H45" i="27"/>
  <c r="H21" i="27"/>
  <c r="N20" i="27"/>
  <c r="N23" i="27"/>
  <c r="K44" i="27"/>
  <c r="K20" i="27"/>
  <c r="N45" i="27"/>
  <c r="N21" i="27"/>
  <c r="K24" i="27"/>
  <c r="H44" i="27"/>
  <c r="H50" i="27"/>
  <c r="K50" i="27"/>
  <c r="E53" i="27"/>
  <c r="D53" i="27"/>
  <c r="D16" i="39" s="1"/>
  <c r="D17" i="39" s="1"/>
  <c r="D21" i="39" s="1"/>
  <c r="D29" i="39" s="1"/>
  <c r="Q53" i="25"/>
  <c r="R52" i="25"/>
  <c r="N19" i="25"/>
  <c r="V48" i="25"/>
  <c r="O48" i="25" s="1"/>
  <c r="V27" i="25"/>
  <c r="S27" i="25" s="1"/>
  <c r="N24" i="25"/>
  <c r="V15" i="25"/>
  <c r="K15" i="25" s="1"/>
  <c r="E19" i="25"/>
  <c r="J19" i="25"/>
  <c r="V26" i="25"/>
  <c r="V38" i="25"/>
  <c r="S38" i="25" s="1"/>
  <c r="U24" i="25"/>
  <c r="V18" i="25"/>
  <c r="S18" i="25" s="1"/>
  <c r="V16" i="25"/>
  <c r="S16" i="25" s="1"/>
  <c r="O15" i="25"/>
  <c r="U19" i="25"/>
  <c r="E34" i="25"/>
  <c r="G19" i="25"/>
  <c r="E43" i="25"/>
  <c r="G24" i="25"/>
  <c r="J24" i="25"/>
  <c r="V39" i="25"/>
  <c r="V32" i="25"/>
  <c r="K32" i="25" s="1"/>
  <c r="V31" i="25"/>
  <c r="S31" i="25" s="1"/>
  <c r="V29" i="25"/>
  <c r="K29" i="25" s="1"/>
  <c r="V45" i="25"/>
  <c r="R43" i="25"/>
  <c r="V36" i="25"/>
  <c r="V30" i="25"/>
  <c r="E24" i="25"/>
  <c r="V47" i="25"/>
  <c r="G45" i="25"/>
  <c r="E52" i="25"/>
  <c r="V50" i="25"/>
  <c r="S50" i="25" s="1"/>
  <c r="V33" i="25"/>
  <c r="J34" i="25"/>
  <c r="V35" i="25"/>
  <c r="V22" i="25"/>
  <c r="K22" i="25" s="1"/>
  <c r="V21" i="25"/>
  <c r="R24" i="25"/>
  <c r="G36" i="25"/>
  <c r="N34" i="25"/>
  <c r="V23" i="25"/>
  <c r="O23" i="25" s="1"/>
  <c r="R34" i="25"/>
  <c r="R19" i="25"/>
  <c r="E29" i="39" l="1"/>
  <c r="D40" i="39"/>
  <c r="E40" i="39" s="1"/>
  <c r="K51" i="25"/>
  <c r="G43" i="25"/>
  <c r="G52" i="25"/>
  <c r="I52" i="25"/>
  <c r="J49" i="25"/>
  <c r="J52" i="25" s="1"/>
  <c r="U49" i="25"/>
  <c r="U52" i="25" s="1"/>
  <c r="U53" i="25" s="1"/>
  <c r="M52" i="25"/>
  <c r="N49" i="25"/>
  <c r="U40" i="25"/>
  <c r="U43" i="25" s="1"/>
  <c r="I43" i="25"/>
  <c r="I53" i="25" s="1"/>
  <c r="J40" i="25"/>
  <c r="J43" i="25" s="1"/>
  <c r="N40" i="25"/>
  <c r="M43" i="25"/>
  <c r="S15" i="25"/>
  <c r="K31" i="25"/>
  <c r="K16" i="25"/>
  <c r="S14" i="25"/>
  <c r="O17" i="25"/>
  <c r="S17" i="25"/>
  <c r="O27" i="25"/>
  <c r="S13" i="25"/>
  <c r="O42" i="25"/>
  <c r="O14" i="25"/>
  <c r="O18" i="25"/>
  <c r="V19" i="25"/>
  <c r="S19" i="25" s="1"/>
  <c r="K41" i="25"/>
  <c r="S26" i="25"/>
  <c r="V34" i="25"/>
  <c r="K34" i="25" s="1"/>
  <c r="O13" i="25"/>
  <c r="O57" i="25" s="1"/>
  <c r="O26" i="25"/>
  <c r="K37" i="25"/>
  <c r="O37" i="25"/>
  <c r="K46" i="25"/>
  <c r="O46" i="25"/>
  <c r="S21" i="25"/>
  <c r="V24" i="25"/>
  <c r="S41" i="25"/>
  <c r="S44" i="25"/>
  <c r="K26" i="25"/>
  <c r="O38" i="25"/>
  <c r="K27" i="25"/>
  <c r="K44" i="25"/>
  <c r="S51" i="25"/>
  <c r="O44" i="25"/>
  <c r="S42" i="25"/>
  <c r="S48" i="25"/>
  <c r="K48" i="25"/>
  <c r="K38" i="25"/>
  <c r="O16" i="25"/>
  <c r="K18" i="25"/>
  <c r="E53" i="25"/>
  <c r="O39" i="25"/>
  <c r="S39" i="25"/>
  <c r="K47" i="25"/>
  <c r="O47" i="25"/>
  <c r="S23" i="25"/>
  <c r="K23" i="25"/>
  <c r="S47" i="25"/>
  <c r="S30" i="25"/>
  <c r="K30" i="25"/>
  <c r="K45" i="25"/>
  <c r="O45" i="25"/>
  <c r="O29" i="25"/>
  <c r="S29" i="25"/>
  <c r="S33" i="25"/>
  <c r="K33" i="25"/>
  <c r="O30" i="25"/>
  <c r="S45" i="25"/>
  <c r="O33" i="25"/>
  <c r="K35" i="25"/>
  <c r="S35" i="25"/>
  <c r="O35" i="25"/>
  <c r="K39" i="25"/>
  <c r="O21" i="25"/>
  <c r="K21" i="25"/>
  <c r="K50" i="25"/>
  <c r="O50" i="25"/>
  <c r="K36" i="25"/>
  <c r="O36" i="25"/>
  <c r="S36" i="25"/>
  <c r="O31" i="25"/>
  <c r="S22" i="25"/>
  <c r="O22" i="25"/>
  <c r="O32" i="25"/>
  <c r="S32" i="25"/>
  <c r="R53" i="25"/>
  <c r="C78" i="10"/>
  <c r="B78" i="10"/>
  <c r="M16" i="5"/>
  <c r="T47" i="5"/>
  <c r="F47" i="5"/>
  <c r="T39" i="5"/>
  <c r="V39" i="5" s="1"/>
  <c r="F39" i="5"/>
  <c r="T31" i="5"/>
  <c r="F31" i="5"/>
  <c r="P47" i="5"/>
  <c r="R47" i="5" s="1"/>
  <c r="P39" i="5"/>
  <c r="P31" i="5"/>
  <c r="R31" i="5" s="1"/>
  <c r="L47" i="5"/>
  <c r="N47" i="5" s="1"/>
  <c r="L39" i="5"/>
  <c r="L31" i="5"/>
  <c r="N31" i="5" s="1"/>
  <c r="F48" i="5"/>
  <c r="T22" i="5"/>
  <c r="F22" i="5"/>
  <c r="T17" i="5"/>
  <c r="F17" i="5"/>
  <c r="R17" i="5" s="1"/>
  <c r="P17" i="5"/>
  <c r="P22" i="5"/>
  <c r="L22" i="5"/>
  <c r="L17" i="5"/>
  <c r="V20" i="5"/>
  <c r="V21" i="5"/>
  <c r="J12" i="5"/>
  <c r="J13" i="5"/>
  <c r="J14" i="5"/>
  <c r="M12" i="5"/>
  <c r="M13" i="5"/>
  <c r="M14" i="5"/>
  <c r="Q12" i="5"/>
  <c r="Q13" i="5"/>
  <c r="Q14" i="5"/>
  <c r="Q16" i="5"/>
  <c r="V12" i="5"/>
  <c r="V13" i="5"/>
  <c r="V14" i="5"/>
  <c r="V15" i="5"/>
  <c r="V16" i="5"/>
  <c r="U12" i="5"/>
  <c r="U13" i="5"/>
  <c r="U14" i="5"/>
  <c r="U15" i="5"/>
  <c r="U16" i="5"/>
  <c r="U20" i="5"/>
  <c r="U21" i="5"/>
  <c r="M46" i="5"/>
  <c r="Q46" i="5"/>
  <c r="U46" i="5"/>
  <c r="V41" i="5"/>
  <c r="V42" i="5"/>
  <c r="V43" i="5"/>
  <c r="V44" i="5"/>
  <c r="V45" i="5"/>
  <c r="V46" i="5"/>
  <c r="V33" i="5"/>
  <c r="V34" i="5"/>
  <c r="V35" i="5"/>
  <c r="V36" i="5"/>
  <c r="V37" i="5"/>
  <c r="V25" i="5"/>
  <c r="V26" i="5"/>
  <c r="V27" i="5"/>
  <c r="V28" i="5"/>
  <c r="V29" i="5"/>
  <c r="R41" i="5"/>
  <c r="R42" i="5"/>
  <c r="R43" i="5"/>
  <c r="R44" i="5"/>
  <c r="R45" i="5"/>
  <c r="R46" i="5"/>
  <c r="R33" i="5"/>
  <c r="R34" i="5"/>
  <c r="R35" i="5"/>
  <c r="R36" i="5"/>
  <c r="R37" i="5"/>
  <c r="R25" i="5"/>
  <c r="R26" i="5"/>
  <c r="R27" i="5"/>
  <c r="R28" i="5"/>
  <c r="R29" i="5"/>
  <c r="J46" i="5"/>
  <c r="N46" i="5"/>
  <c r="R20" i="5"/>
  <c r="R21" i="5"/>
  <c r="R12" i="5"/>
  <c r="R13" i="5"/>
  <c r="R14" i="5"/>
  <c r="R15" i="5"/>
  <c r="N41" i="5"/>
  <c r="N42" i="5"/>
  <c r="N43" i="5"/>
  <c r="N44" i="5"/>
  <c r="N45" i="5"/>
  <c r="N33" i="5"/>
  <c r="N34" i="5"/>
  <c r="N35" i="5"/>
  <c r="N36" i="5"/>
  <c r="N37" i="5"/>
  <c r="V40" i="5"/>
  <c r="V32" i="5"/>
  <c r="V24" i="5"/>
  <c r="V19" i="5"/>
  <c r="V11" i="5"/>
  <c r="R11" i="5"/>
  <c r="R19" i="5"/>
  <c r="R24" i="5"/>
  <c r="R32" i="5"/>
  <c r="R40" i="5"/>
  <c r="N40" i="5"/>
  <c r="N32" i="5"/>
  <c r="N24" i="5"/>
  <c r="N19" i="5"/>
  <c r="N11" i="5"/>
  <c r="N25" i="5"/>
  <c r="N26" i="5"/>
  <c r="N27" i="5"/>
  <c r="N28" i="5"/>
  <c r="N29" i="5"/>
  <c r="N21" i="5"/>
  <c r="N20" i="5"/>
  <c r="N12" i="5"/>
  <c r="N13" i="5"/>
  <c r="N14" i="5"/>
  <c r="N15" i="5"/>
  <c r="J9" i="5"/>
  <c r="U9" i="5" s="1"/>
  <c r="J51" i="5"/>
  <c r="AA25" i="5"/>
  <c r="AB25" i="5" s="1"/>
  <c r="AA27" i="5"/>
  <c r="AB27" i="5" s="1"/>
  <c r="AA41" i="5"/>
  <c r="AB41" i="5"/>
  <c r="AA42" i="5"/>
  <c r="AB42" i="5" s="1"/>
  <c r="AA43" i="5"/>
  <c r="AB43" i="5" s="1"/>
  <c r="AA12" i="5"/>
  <c r="AA13" i="5"/>
  <c r="AA14" i="5"/>
  <c r="AA15" i="5"/>
  <c r="AA16" i="5"/>
  <c r="AA18" i="5"/>
  <c r="AA19" i="5"/>
  <c r="AA20" i="5"/>
  <c r="AA21" i="5"/>
  <c r="AA23" i="5"/>
  <c r="AA24" i="5"/>
  <c r="AB24" i="5" s="1"/>
  <c r="AA26" i="5"/>
  <c r="AB26" i="5" s="1"/>
  <c r="AA28" i="5"/>
  <c r="AB28" i="5"/>
  <c r="AA29" i="5"/>
  <c r="AB29" i="5" s="1"/>
  <c r="AA30" i="5"/>
  <c r="AB30" i="5" s="1"/>
  <c r="AA32" i="5"/>
  <c r="AB32" i="5"/>
  <c r="AA33" i="5"/>
  <c r="AB33" i="5" s="1"/>
  <c r="AA34" i="5"/>
  <c r="AB34" i="5" s="1"/>
  <c r="AA35" i="5"/>
  <c r="AB35" i="5"/>
  <c r="AA36" i="5"/>
  <c r="AB36" i="5" s="1"/>
  <c r="AA37" i="5"/>
  <c r="AB37" i="5" s="1"/>
  <c r="AA38" i="5"/>
  <c r="AB38" i="5"/>
  <c r="AA40" i="5"/>
  <c r="AB40" i="5" s="1"/>
  <c r="AA44" i="5"/>
  <c r="AB44" i="5" s="1"/>
  <c r="AA45" i="5"/>
  <c r="AB45" i="5"/>
  <c r="AA46" i="5"/>
  <c r="AB46" i="5" s="1"/>
  <c r="AA11" i="5"/>
  <c r="J27" i="5"/>
  <c r="J28" i="5"/>
  <c r="J35" i="5"/>
  <c r="J36" i="5"/>
  <c r="J43" i="5"/>
  <c r="J44" i="5"/>
  <c r="U43" i="5"/>
  <c r="U44" i="5"/>
  <c r="U35" i="5"/>
  <c r="U36" i="5"/>
  <c r="U27" i="5"/>
  <c r="U28" i="5"/>
  <c r="Q43" i="5"/>
  <c r="Q44" i="5"/>
  <c r="Q35" i="5"/>
  <c r="Q36" i="5"/>
  <c r="Q27" i="5"/>
  <c r="Q28" i="5"/>
  <c r="M43" i="5"/>
  <c r="M44" i="5"/>
  <c r="M35" i="5"/>
  <c r="M36" i="5"/>
  <c r="M27" i="5"/>
  <c r="M28" i="5"/>
  <c r="Z44" i="5"/>
  <c r="Z43" i="5"/>
  <c r="Z36" i="5"/>
  <c r="Z35" i="5"/>
  <c r="Z30" i="5"/>
  <c r="Z28" i="5"/>
  <c r="Z27" i="5"/>
  <c r="E34" i="5"/>
  <c r="G34" i="5" s="1"/>
  <c r="E35" i="5"/>
  <c r="G35" i="5" s="1"/>
  <c r="E36" i="5"/>
  <c r="G36" i="5" s="1"/>
  <c r="E37" i="5"/>
  <c r="G37" i="5"/>
  <c r="E38" i="5"/>
  <c r="G38" i="5" s="1"/>
  <c r="E33" i="5"/>
  <c r="G33" i="5" s="1"/>
  <c r="E42" i="5"/>
  <c r="G42" i="5" s="1"/>
  <c r="E43" i="5"/>
  <c r="G43" i="5" s="1"/>
  <c r="E44" i="5"/>
  <c r="G44" i="5"/>
  <c r="E45" i="5"/>
  <c r="G45" i="5" s="1"/>
  <c r="E46" i="5"/>
  <c r="G46" i="5" s="1"/>
  <c r="E41" i="5"/>
  <c r="G41" i="5" s="1"/>
  <c r="E40" i="5"/>
  <c r="E47" i="5" s="1"/>
  <c r="G40" i="5"/>
  <c r="E12" i="5"/>
  <c r="G12" i="5" s="1"/>
  <c r="E13" i="5"/>
  <c r="G13" i="5" s="1"/>
  <c r="E32" i="5"/>
  <c r="G32" i="5"/>
  <c r="E26" i="5"/>
  <c r="G26" i="5" s="1"/>
  <c r="E27" i="5"/>
  <c r="G27" i="5"/>
  <c r="E28" i="5"/>
  <c r="G28" i="5" s="1"/>
  <c r="E29" i="5"/>
  <c r="G29" i="5" s="1"/>
  <c r="E30" i="5"/>
  <c r="G30" i="5"/>
  <c r="E25" i="5"/>
  <c r="G25" i="5" s="1"/>
  <c r="E24" i="5"/>
  <c r="G24" i="5" s="1"/>
  <c r="E20" i="5"/>
  <c r="G20" i="5" s="1"/>
  <c r="E21" i="5"/>
  <c r="G21" i="5"/>
  <c r="E19" i="5"/>
  <c r="G19" i="5" s="1"/>
  <c r="E15" i="5"/>
  <c r="G15" i="5" s="1"/>
  <c r="E16" i="5"/>
  <c r="G16" i="5"/>
  <c r="E14" i="5"/>
  <c r="G14" i="5" s="1"/>
  <c r="E11" i="5"/>
  <c r="G11" i="5"/>
  <c r="G26" i="6"/>
  <c r="X47" i="5"/>
  <c r="Z45" i="5"/>
  <c r="Y45" i="5"/>
  <c r="U45" i="5"/>
  <c r="Q45" i="5"/>
  <c r="M45" i="5"/>
  <c r="J45" i="5"/>
  <c r="Z42" i="5"/>
  <c r="Y42" i="5"/>
  <c r="U42" i="5"/>
  <c r="Q42" i="5"/>
  <c r="M42" i="5"/>
  <c r="J42" i="5"/>
  <c r="Z41" i="5"/>
  <c r="Y41" i="5"/>
  <c r="U41" i="5"/>
  <c r="Q41" i="5"/>
  <c r="M41" i="5"/>
  <c r="J41" i="5"/>
  <c r="Z40" i="5"/>
  <c r="Y40" i="5"/>
  <c r="U40" i="5"/>
  <c r="Q40" i="5"/>
  <c r="M40" i="5"/>
  <c r="M47" i="5" s="1"/>
  <c r="J40" i="5"/>
  <c r="X39" i="5"/>
  <c r="Z39" i="5" s="1"/>
  <c r="E39" i="5"/>
  <c r="Z37" i="5"/>
  <c r="Y37" i="5"/>
  <c r="U37" i="5"/>
  <c r="Q37" i="5"/>
  <c r="M37" i="5"/>
  <c r="J37" i="5"/>
  <c r="Z34" i="5"/>
  <c r="Y34" i="5"/>
  <c r="U34" i="5"/>
  <c r="Q34" i="5"/>
  <c r="M34" i="5"/>
  <c r="J34" i="5"/>
  <c r="Z33" i="5"/>
  <c r="Y33" i="5"/>
  <c r="U33" i="5"/>
  <c r="Q33" i="5"/>
  <c r="M33" i="5"/>
  <c r="J33" i="5"/>
  <c r="Z32" i="5"/>
  <c r="Y32" i="5"/>
  <c r="U32" i="5"/>
  <c r="Q32" i="5"/>
  <c r="M32" i="5"/>
  <c r="J32" i="5"/>
  <c r="J39" i="5" s="1"/>
  <c r="X31" i="5"/>
  <c r="Z31" i="5" s="1"/>
  <c r="Z29" i="5"/>
  <c r="Y29" i="5"/>
  <c r="U29" i="5"/>
  <c r="Q29" i="5"/>
  <c r="M29" i="5"/>
  <c r="J29" i="5"/>
  <c r="Z26" i="5"/>
  <c r="Y26" i="5"/>
  <c r="U26" i="5"/>
  <c r="Q26" i="5"/>
  <c r="M26" i="5"/>
  <c r="J26" i="5"/>
  <c r="Z25" i="5"/>
  <c r="Y25" i="5"/>
  <c r="U25" i="5"/>
  <c r="Q25" i="5"/>
  <c r="M25" i="5"/>
  <c r="J25" i="5"/>
  <c r="Z24" i="5"/>
  <c r="Y24" i="5"/>
  <c r="Y48" i="5" s="1"/>
  <c r="U24" i="5"/>
  <c r="Q24" i="5"/>
  <c r="M24" i="5"/>
  <c r="J24" i="5"/>
  <c r="X22" i="5"/>
  <c r="Z21" i="5"/>
  <c r="Y21" i="5"/>
  <c r="Q21" i="5"/>
  <c r="M21" i="5"/>
  <c r="J21" i="5"/>
  <c r="Y20" i="5"/>
  <c r="Q20" i="5"/>
  <c r="M20" i="5"/>
  <c r="J20" i="5"/>
  <c r="Z19" i="5"/>
  <c r="Y19" i="5"/>
  <c r="U19" i="5"/>
  <c r="Q19" i="5"/>
  <c r="M19" i="5"/>
  <c r="M22" i="5" s="1"/>
  <c r="J19" i="5"/>
  <c r="X17" i="5"/>
  <c r="Z17" i="5" s="1"/>
  <c r="E17" i="5"/>
  <c r="Z15" i="5"/>
  <c r="Y15" i="5"/>
  <c r="Q15" i="5"/>
  <c r="M15" i="5"/>
  <c r="J15" i="5"/>
  <c r="Z14" i="5"/>
  <c r="Y14" i="5"/>
  <c r="Z11" i="5"/>
  <c r="Y11" i="5"/>
  <c r="U11" i="5"/>
  <c r="Q11" i="5"/>
  <c r="M11" i="5"/>
  <c r="J11" i="5"/>
  <c r="Y9" i="5"/>
  <c r="Y17" i="5" s="1"/>
  <c r="AA17" i="5"/>
  <c r="AA47" i="5"/>
  <c r="AB47" i="5"/>
  <c r="AA31" i="5"/>
  <c r="AB31" i="5" s="1"/>
  <c r="U31" i="5" l="1"/>
  <c r="J47" i="5"/>
  <c r="V17" i="5"/>
  <c r="M36" i="27"/>
  <c r="M49" i="27"/>
  <c r="M30" i="27"/>
  <c r="M32" i="27"/>
  <c r="U39" i="5"/>
  <c r="M9" i="5"/>
  <c r="AA39" i="5"/>
  <c r="AB39" i="5" s="1"/>
  <c r="Q22" i="5"/>
  <c r="Q31" i="5"/>
  <c r="M39" i="5"/>
  <c r="Q39" i="5"/>
  <c r="N17" i="5"/>
  <c r="V22" i="5"/>
  <c r="V47" i="5"/>
  <c r="G53" i="25"/>
  <c r="J53" i="25"/>
  <c r="V49" i="25"/>
  <c r="O49" i="25" s="1"/>
  <c r="N52" i="25"/>
  <c r="M53" i="25"/>
  <c r="N43" i="25"/>
  <c r="N53" i="25" s="1"/>
  <c r="N55" i="25" s="1"/>
  <c r="V40" i="25"/>
  <c r="N11" i="27"/>
  <c r="M11" i="27" s="1"/>
  <c r="M51" i="27"/>
  <c r="N12" i="27"/>
  <c r="M12" i="27" s="1"/>
  <c r="N13" i="27"/>
  <c r="M13" i="27" s="1"/>
  <c r="N14" i="27"/>
  <c r="M14" i="27" s="1"/>
  <c r="G57" i="25"/>
  <c r="O24" i="25"/>
  <c r="E22" i="5"/>
  <c r="AA22" i="5"/>
  <c r="Q47" i="5"/>
  <c r="J31" i="5"/>
  <c r="J48" i="5" s="1"/>
  <c r="U22" i="5"/>
  <c r="M17" i="5"/>
  <c r="N39" i="5"/>
  <c r="X48" i="5"/>
  <c r="Z48" i="5" s="1"/>
  <c r="Y22" i="5"/>
  <c r="E31" i="5"/>
  <c r="E48" i="5" s="1"/>
  <c r="J17" i="5"/>
  <c r="J22" i="5"/>
  <c r="M31" i="5"/>
  <c r="M48" i="5" s="1"/>
  <c r="M49" i="5" s="1"/>
  <c r="U47" i="5"/>
  <c r="U17" i="5"/>
  <c r="N22" i="5"/>
  <c r="L48" i="5"/>
  <c r="N48" i="5" s="1"/>
  <c r="V31" i="5"/>
  <c r="Y49" i="5"/>
  <c r="R22" i="5"/>
  <c r="R55" i="25"/>
  <c r="R59" i="25" s="1"/>
  <c r="P11" i="39" s="1"/>
  <c r="Z22" i="5"/>
  <c r="P48" i="5"/>
  <c r="R48" i="5" s="1"/>
  <c r="R39" i="5"/>
  <c r="Z47" i="5"/>
  <c r="Q9" i="5"/>
  <c r="Q17" i="5" s="1"/>
  <c r="T48" i="5"/>
  <c r="J55" i="25"/>
  <c r="K24" i="25"/>
  <c r="G55" i="25"/>
  <c r="G59" i="25" s="1"/>
  <c r="S34" i="25"/>
  <c r="S24" i="25"/>
  <c r="O34" i="25"/>
  <c r="O19" i="25"/>
  <c r="K19" i="25"/>
  <c r="Q48" i="5" l="1"/>
  <c r="J49" i="5"/>
  <c r="J50" i="5" s="1"/>
  <c r="G32" i="27"/>
  <c r="G36" i="27"/>
  <c r="G49" i="27"/>
  <c r="G30" i="27"/>
  <c r="P30" i="27" s="1"/>
  <c r="J36" i="27"/>
  <c r="J49" i="27"/>
  <c r="J30" i="27"/>
  <c r="J32" i="27"/>
  <c r="Q49" i="5"/>
  <c r="U48" i="5"/>
  <c r="U49" i="5" s="1"/>
  <c r="S49" i="25"/>
  <c r="K49" i="25"/>
  <c r="V52" i="25"/>
  <c r="K40" i="25"/>
  <c r="V43" i="25"/>
  <c r="O40" i="25"/>
  <c r="S40" i="25"/>
  <c r="V55" i="25"/>
  <c r="O55" i="25" s="1"/>
  <c r="H49" i="27"/>
  <c r="H13" i="27"/>
  <c r="G13" i="27" s="1"/>
  <c r="H14" i="27"/>
  <c r="G14" i="27" s="1"/>
  <c r="H11" i="27"/>
  <c r="G11" i="27" s="1"/>
  <c r="H12" i="27"/>
  <c r="G12" i="27" s="1"/>
  <c r="K11" i="27"/>
  <c r="J11" i="27" s="1"/>
  <c r="K12" i="27"/>
  <c r="J12" i="27" s="1"/>
  <c r="K13" i="27"/>
  <c r="J13" i="27" s="1"/>
  <c r="K14" i="27"/>
  <c r="J14" i="27" s="1"/>
  <c r="M15" i="27"/>
  <c r="J57" i="25"/>
  <c r="N57" i="25"/>
  <c r="N59" i="25" s="1"/>
  <c r="M11" i="39" s="1"/>
  <c r="N49" i="5"/>
  <c r="V49" i="5" s="1"/>
  <c r="R49" i="5"/>
  <c r="Z49" i="5" s="1"/>
  <c r="U51" i="5"/>
  <c r="V48" i="5"/>
  <c r="AA48" i="5"/>
  <c r="AB48" i="5" s="1"/>
  <c r="P36" i="27" l="1"/>
  <c r="N36" i="27" s="1"/>
  <c r="H36" i="27"/>
  <c r="K36" i="27"/>
  <c r="P49" i="27"/>
  <c r="N49" i="27" s="1"/>
  <c r="K52" i="25"/>
  <c r="O52" i="25"/>
  <c r="S52" i="25"/>
  <c r="K43" i="25"/>
  <c r="S43" i="25"/>
  <c r="V53" i="25"/>
  <c r="O43" i="25"/>
  <c r="K55" i="25"/>
  <c r="V57" i="25"/>
  <c r="G15" i="27"/>
  <c r="P42" i="27"/>
  <c r="N42" i="27" s="1"/>
  <c r="J15" i="27"/>
  <c r="G51" i="27"/>
  <c r="J59" i="25"/>
  <c r="J11" i="39" s="1"/>
  <c r="J51" i="27"/>
  <c r="P32" i="27"/>
  <c r="S55" i="25"/>
  <c r="S53" i="25" l="1"/>
  <c r="K53" i="25"/>
  <c r="O53" i="25"/>
  <c r="K49" i="27"/>
  <c r="V59" i="25"/>
  <c r="P51" i="27"/>
  <c r="N51" i="27" s="1"/>
  <c r="H32" i="27"/>
  <c r="N32" i="27"/>
  <c r="N15" i="27"/>
  <c r="K32" i="27"/>
  <c r="H42" i="27"/>
  <c r="K42" i="27"/>
  <c r="F57" i="20"/>
  <c r="G61" i="25" s="1"/>
  <c r="M46" i="27" l="1"/>
  <c r="M53" i="27" s="1"/>
  <c r="P12" i="39" s="1"/>
  <c r="P13" i="39" s="1"/>
  <c r="N30" i="27"/>
  <c r="H15" i="27"/>
  <c r="H51" i="27"/>
  <c r="K15" i="27"/>
  <c r="K59" i="25"/>
  <c r="S11" i="39"/>
  <c r="K11" i="39" s="1"/>
  <c r="O59" i="25"/>
  <c r="S59" i="25"/>
  <c r="K51" i="27"/>
  <c r="G46" i="27" l="1"/>
  <c r="H30" i="27"/>
  <c r="J46" i="27"/>
  <c r="K30" i="27"/>
  <c r="Q11" i="39"/>
  <c r="N11" i="39"/>
  <c r="E11" i="39"/>
  <c r="H11" i="39"/>
  <c r="P46" i="27" l="1"/>
  <c r="N46" i="27" s="1"/>
  <c r="G53" i="27"/>
  <c r="J53" i="27"/>
  <c r="M12" i="39" s="1"/>
  <c r="M13" i="39" s="1"/>
  <c r="K46" i="27" l="1"/>
  <c r="H46" i="27"/>
  <c r="J12" i="39"/>
  <c r="P53" i="27"/>
  <c r="H53" i="27" s="1"/>
  <c r="E26" i="39"/>
  <c r="K26" i="39"/>
  <c r="N26" i="39"/>
  <c r="Q26" i="39"/>
  <c r="H26" i="39"/>
  <c r="K53" i="27" l="1"/>
  <c r="S12" i="39"/>
  <c r="N53" i="27"/>
  <c r="J13" i="39"/>
  <c r="H12" i="39" l="1"/>
  <c r="S13" i="39"/>
  <c r="E12" i="39"/>
  <c r="Q12" i="39"/>
  <c r="N12" i="39"/>
  <c r="K12" i="39"/>
  <c r="K13" i="39" l="1"/>
  <c r="K16" i="39" s="1"/>
  <c r="N13" i="39"/>
  <c r="N16" i="39" s="1"/>
  <c r="Q13" i="39"/>
  <c r="Q16" i="39" s="1"/>
  <c r="H13" i="39"/>
  <c r="E13" i="39"/>
  <c r="G16" i="39"/>
  <c r="P16" i="39" l="1"/>
  <c r="P17" i="39" s="1"/>
  <c r="M16" i="39"/>
  <c r="M17" i="39" s="1"/>
  <c r="J16" i="39"/>
  <c r="J17" i="39" s="1"/>
  <c r="G17" i="39"/>
  <c r="E16" i="39"/>
  <c r="S16" i="39" l="1"/>
  <c r="S17" i="39" s="1"/>
  <c r="E20" i="39" s="1"/>
  <c r="E17" i="39"/>
  <c r="Q17" i="39" l="1"/>
  <c r="Q20" i="39" s="1"/>
  <c r="P20" i="39" s="1"/>
  <c r="P21" i="39" s="1"/>
  <c r="P29" i="39" s="1"/>
  <c r="Q29" i="39" s="1"/>
  <c r="N17" i="39"/>
  <c r="N20" i="39" s="1"/>
  <c r="M20" i="39" s="1"/>
  <c r="M21" i="39" s="1"/>
  <c r="M29" i="39" s="1"/>
  <c r="N29" i="39" s="1"/>
  <c r="K17" i="39"/>
  <c r="K20" i="39" s="1"/>
  <c r="J20" i="39" s="1"/>
  <c r="J21" i="39" s="1"/>
  <c r="J29" i="39" s="1"/>
  <c r="K29" i="39" s="1"/>
  <c r="H17" i="39"/>
  <c r="H20" i="39" s="1"/>
  <c r="G20" i="39" s="1"/>
  <c r="G21" i="39" s="1"/>
  <c r="G29" i="39" s="1"/>
  <c r="S21" i="39" l="1"/>
  <c r="Q21" i="39" s="1"/>
  <c r="M40" i="39"/>
  <c r="N40" i="39" s="1"/>
  <c r="P40" i="39"/>
  <c r="Q40" i="39" s="1"/>
  <c r="S20" i="39"/>
  <c r="J40" i="39"/>
  <c r="K40" i="39" s="1"/>
  <c r="H29" i="39"/>
  <c r="G40" i="39"/>
  <c r="K21" i="39" l="1"/>
  <c r="S29" i="39"/>
  <c r="E21" i="39"/>
  <c r="H21" i="39"/>
  <c r="N21" i="39"/>
  <c r="S40" i="39"/>
  <c r="H40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tc={3CF7DA45-A774-8348-B2CA-006A0EE424DE}</author>
    <author>tc={96AC5033-A64B-1947-AC8D-922E57DA0D0E}</author>
    <author>RSCCD</author>
  </authors>
  <commentList>
    <comment ref="D4" authorId="0" shapeId="0" xr:uid="{3CF7DA45-A774-8348-B2CA-006A0EE424DE}">
      <text>
        <t>[Threaded comment]
Your version of Excel allows you to read this threaded comment; however, any edits to it will get removed if the file is opened in a newer version of Excel. Learn more: https://go.microsoft.com/fwlink/?linkid=870924
Comment:
    Santa Ana College</t>
      </text>
    </comment>
    <comment ref="G4" authorId="1" shapeId="0" xr:uid="{96AC5033-A64B-1947-AC8D-922E57DA0D0E}">
      <text>
        <t>[Threaded comment]
Your version of Excel allows you to read this threaded comment; however, any edits to it will get removed if the file is opened in a newer version of Excel. Learn more: https://go.microsoft.com/fwlink/?linkid=870924
Comment:
    Santiago Canyon College</t>
      </text>
    </comment>
    <comment ref="B43" authorId="2" shapeId="0" xr:uid="{0CDC36AF-BD15-420D-AF03-7D6522EB74DF}">
      <text>
        <r>
          <rPr>
            <b/>
            <sz val="9"/>
            <color indexed="81"/>
            <rFont val="Tahoma"/>
            <family val="2"/>
          </rPr>
          <t>Projected COLA - 2.71% (FY 18-19) using FY 18/19 F/T&amp;ongoing salary split</t>
        </r>
      </text>
    </comment>
  </commentList>
</comments>
</file>

<file path=xl/sharedStrings.xml><?xml version="1.0" encoding="utf-8"?>
<sst xmlns="http://schemas.openxmlformats.org/spreadsheetml/2006/main" count="1442" uniqueCount="542">
  <si>
    <t>Headcount</t>
  </si>
  <si>
    <t>Outcomes</t>
  </si>
  <si>
    <t>Check</t>
  </si>
  <si>
    <t>Golden West College</t>
  </si>
  <si>
    <t>Coastline Community College</t>
  </si>
  <si>
    <t>Base Allocation</t>
  </si>
  <si>
    <t>Supplemental Allocation</t>
  </si>
  <si>
    <t>Student Success Allocation</t>
  </si>
  <si>
    <t>Orange Coast College</t>
  </si>
  <si>
    <t>SCFF Calculation</t>
  </si>
  <si>
    <t>2018-19</t>
  </si>
  <si>
    <t xml:space="preserve"> %
 change </t>
  </si>
  <si>
    <t>Estimated State COLA</t>
  </si>
  <si>
    <t>FTES</t>
  </si>
  <si>
    <t>Rate</t>
  </si>
  <si>
    <t>Total</t>
  </si>
  <si>
    <t>Base 
Allocation</t>
  </si>
  <si>
    <t>Basic Allocation</t>
  </si>
  <si>
    <t>Credit FTES</t>
  </si>
  <si>
    <t>3-Year Average Credit</t>
  </si>
  <si>
    <t>Special Admit</t>
  </si>
  <si>
    <t>Incarcerated Credit</t>
  </si>
  <si>
    <t>Subtotal</t>
  </si>
  <si>
    <t>Non-Credit FTES</t>
  </si>
  <si>
    <t xml:space="preserve">Traditional Non Credit </t>
  </si>
  <si>
    <t>CDCP</t>
  </si>
  <si>
    <t>Incarcerated Non-Credit</t>
  </si>
  <si>
    <t>Pell Grant Recipients</t>
  </si>
  <si>
    <t>State Nonresident Fee Waiver</t>
  </si>
  <si>
    <t>California Promise Grant Recipients</t>
  </si>
  <si>
    <t>All Students</t>
  </si>
  <si>
    <t>Associate Degrees</t>
  </si>
  <si>
    <t>Baccalaureate Degrees</t>
  </si>
  <si>
    <t>Associate Degrees for Transfer</t>
  </si>
  <si>
    <t>Credit Certificates</t>
  </si>
  <si>
    <t>Nine or More CTE Units</t>
  </si>
  <si>
    <t>Transfer</t>
  </si>
  <si>
    <t>Transfer Level Math and English</t>
  </si>
  <si>
    <t>Achieved Regional Living Wage</t>
  </si>
  <si>
    <t>Equity: Pell Grant Recipients</t>
  </si>
  <si>
    <t>Equity: California Promise Grant Recipients</t>
  </si>
  <si>
    <t>Preliminary Total</t>
  </si>
  <si>
    <t>Success Growth</t>
  </si>
  <si>
    <t>Available Growth</t>
  </si>
  <si>
    <t>Maximum Growth</t>
  </si>
  <si>
    <t>no limit</t>
  </si>
  <si>
    <t>Funded Growth</t>
  </si>
  <si>
    <t>Total SCFF before Hold Harmless</t>
  </si>
  <si>
    <t>Hold Harmless Funding</t>
  </si>
  <si>
    <t>Total SCFF</t>
  </si>
  <si>
    <t>SCC Proportion 2017-2018</t>
  </si>
  <si>
    <t>Unduplicated Headcount: 61,305</t>
  </si>
  <si>
    <t>SAC Proportion 2017-2018</t>
  </si>
  <si>
    <t>2017-18</t>
  </si>
  <si>
    <t>Data</t>
  </si>
  <si>
    <t>Funding Rate</t>
  </si>
  <si>
    <t>Estimated Funding</t>
  </si>
  <si>
    <t>Basic Allocation ($)</t>
  </si>
  <si>
    <t xml:space="preserve">FTES </t>
  </si>
  <si>
    <t xml:space="preserve">Traditional Credit </t>
  </si>
  <si>
    <t xml:space="preserve">Special Admit Credit </t>
  </si>
  <si>
    <t xml:space="preserve">Incarcerated Credit </t>
  </si>
  <si>
    <t xml:space="preserve">Non-Credit </t>
  </si>
  <si>
    <t>Non Credit CDCP</t>
  </si>
  <si>
    <t>Non-Credit Incarcerated</t>
  </si>
  <si>
    <t>AB540 Students</t>
  </si>
  <si>
    <t>Pell Grant Recipients Bonus</t>
  </si>
  <si>
    <t>California Promise Grant Recipients Bonus</t>
  </si>
  <si>
    <t>A.</t>
  </si>
  <si>
    <t>B.</t>
  </si>
  <si>
    <t>* Basic Allocation dollar amounts for Colleges are estimated based on each college's FTES proportion in the district.</t>
  </si>
  <si>
    <t>Sum of A &amp; B</t>
  </si>
  <si>
    <t>FINAL BUDGET 2018-2019 FY</t>
  </si>
  <si>
    <t>COAST COMMUNITY COLLEGE DISTRICT</t>
  </si>
  <si>
    <t>CURRENT
FINAL
BUDGET</t>
  </si>
  <si>
    <t>DISTRICTWIDE EXPENSES (ADMIN 9)</t>
  </si>
  <si>
    <t>Organization Description</t>
  </si>
  <si>
    <t>Orgn Code</t>
  </si>
  <si>
    <t>Benefits</t>
  </si>
  <si>
    <t>982900-982903</t>
  </si>
  <si>
    <t>Board Agenda</t>
  </si>
  <si>
    <t>Contractual Obligation</t>
  </si>
  <si>
    <t>943002-943210, 943700-5, 943801-4, 943820, 
943830, 943880, 982401-801</t>
  </si>
  <si>
    <t>Disaster Preparedness</t>
  </si>
  <si>
    <t>Districtwide IT Services</t>
  </si>
  <si>
    <t>Districtwide Membership</t>
  </si>
  <si>
    <t>Districtwide Utilities</t>
  </si>
  <si>
    <t>Districtwide Vehicle Maintenance</t>
  </si>
  <si>
    <t>Elections</t>
  </si>
  <si>
    <t>Employeen Mandates/Recognition</t>
  </si>
  <si>
    <t>Environmental Health and Safety</t>
  </si>
  <si>
    <t>Facilties/Capital Projects</t>
  </si>
  <si>
    <t>Fiscal/Other Services</t>
  </si>
  <si>
    <t>969302-5,979935,980610,980620,980630,
980900,981630,984502</t>
  </si>
  <si>
    <t>HR Compliance/Recruitment/Negotiations</t>
  </si>
  <si>
    <t>981820,981825,981900,981910,981920</t>
  </si>
  <si>
    <t>Insurance</t>
  </si>
  <si>
    <t>Legal/Consulting Fees</t>
  </si>
  <si>
    <t>960610,960620,960629,960920-30,963501,963801,981809</t>
  </si>
  <si>
    <t>Parity Pay</t>
  </si>
  <si>
    <t>Student Recruitment/Council</t>
  </si>
  <si>
    <t>Student Transportation</t>
  </si>
  <si>
    <t>Final Adopted Total Districtwide Expenses (Admin 9)</t>
  </si>
  <si>
    <t>% of Total</t>
  </si>
  <si>
    <t>Allocation</t>
  </si>
  <si>
    <t>18-19 State Num. (Advance)</t>
  </si>
  <si>
    <t>18-19 District Num. (Actual)</t>
  </si>
  <si>
    <t>17-18 Headcount</t>
  </si>
  <si>
    <t>17-18 Outcomes</t>
  </si>
  <si>
    <t>Difference</t>
  </si>
  <si>
    <t xml:space="preserve">Unduplicated Headcount: </t>
  </si>
  <si>
    <t>C.</t>
  </si>
  <si>
    <t>TCR as Computed by State Data</t>
  </si>
  <si>
    <t>TCR as Computed by District Data</t>
  </si>
  <si>
    <t>__________ Community College District : College Level SCFF Data</t>
  </si>
  <si>
    <t>District</t>
  </si>
  <si>
    <t>Allan Hancock</t>
  </si>
  <si>
    <t>Barstow</t>
  </si>
  <si>
    <t>Cabrillo</t>
  </si>
  <si>
    <t>Cerritos</t>
  </si>
  <si>
    <t>Chabot-Las Positas</t>
  </si>
  <si>
    <t>Chaffey</t>
  </si>
  <si>
    <t>Citrus</t>
  </si>
  <si>
    <t>Coast</t>
  </si>
  <si>
    <t>Compton</t>
  </si>
  <si>
    <t>Contra Costa</t>
  </si>
  <si>
    <t>Copper Mountain</t>
  </si>
  <si>
    <t>Desert</t>
  </si>
  <si>
    <t>El Camino</t>
  </si>
  <si>
    <t>Feather River</t>
  </si>
  <si>
    <t>Gavilan</t>
  </si>
  <si>
    <t>Glendale</t>
  </si>
  <si>
    <t>Hartnell</t>
  </si>
  <si>
    <t>Imperial</t>
  </si>
  <si>
    <t>Kern</t>
  </si>
  <si>
    <t>Lake Tahoe</t>
  </si>
  <si>
    <t>Lassen</t>
  </si>
  <si>
    <t>Long Beach</t>
  </si>
  <si>
    <t>Los Angeles</t>
  </si>
  <si>
    <t>Los Rios</t>
  </si>
  <si>
    <t>Marin</t>
  </si>
  <si>
    <t>Merced</t>
  </si>
  <si>
    <t>Mt. San Antonio</t>
  </si>
  <si>
    <t>Mt. San Jacinto</t>
  </si>
  <si>
    <t>North Orange County</t>
  </si>
  <si>
    <t>Ohlone</t>
  </si>
  <si>
    <t>Palo Verde</t>
  </si>
  <si>
    <t>Palomar</t>
  </si>
  <si>
    <t>Peralta</t>
  </si>
  <si>
    <t>Rancho Santiago</t>
  </si>
  <si>
    <t>Redwoods</t>
  </si>
  <si>
    <t>Rio Hondo</t>
  </si>
  <si>
    <t>Riverside</t>
  </si>
  <si>
    <t>San Bernardino</t>
  </si>
  <si>
    <t>San Diego</t>
  </si>
  <si>
    <t>San Francisco</t>
  </si>
  <si>
    <t>San Joaquin Delta</t>
  </si>
  <si>
    <t>Santa Barbara</t>
  </si>
  <si>
    <t>Santa Clarita</t>
  </si>
  <si>
    <t>Santa Monica</t>
  </si>
  <si>
    <t>Sequoias</t>
  </si>
  <si>
    <t>Sierra</t>
  </si>
  <si>
    <t>South Orange County</t>
  </si>
  <si>
    <t>Southwestern</t>
  </si>
  <si>
    <t>State Center</t>
  </si>
  <si>
    <t>Victor Valley</t>
  </si>
  <si>
    <t>West Hills</t>
  </si>
  <si>
    <t>West Kern</t>
  </si>
  <si>
    <t>Yosemite</t>
  </si>
  <si>
    <t>Yuba</t>
  </si>
  <si>
    <t>State</t>
  </si>
  <si>
    <t>Headcount (2017-18)</t>
  </si>
  <si>
    <t>Funded Credit FTES (2017-18)</t>
  </si>
  <si>
    <t>Antelope Valley</t>
  </si>
  <si>
    <t>Butte-Glenn</t>
  </si>
  <si>
    <t>Foothill-DeAnza</t>
  </si>
  <si>
    <t>Grossmont-Cuyamaca</t>
  </si>
  <si>
    <t>Mendocino-Lake</t>
  </si>
  <si>
    <t>Mira Costa</t>
  </si>
  <si>
    <t>Monterey Peninsula</t>
  </si>
  <si>
    <t>Napa Valley</t>
  </si>
  <si>
    <t>Pasadena Area</t>
  </si>
  <si>
    <t>San Jose-Evergreen</t>
  </si>
  <si>
    <t>San Luis Obispo County</t>
  </si>
  <si>
    <t>San Mateo County</t>
  </si>
  <si>
    <t>Shasta-Tehama-Trinity</t>
  </si>
  <si>
    <t>Siskiyou</t>
  </si>
  <si>
    <t>Solano County</t>
  </si>
  <si>
    <t>Sonoma County</t>
  </si>
  <si>
    <t>Ventura County</t>
  </si>
  <si>
    <t>West Valley-Mission</t>
  </si>
  <si>
    <t>SCFF Data for District Funding</t>
  </si>
  <si>
    <t>District Total</t>
  </si>
  <si>
    <t>North Orange County Community College District</t>
  </si>
  <si>
    <t>District Data Total</t>
  </si>
  <si>
    <t>North Orange County Community College District: 
College Level SCFF Data</t>
  </si>
  <si>
    <t>Traditional Credit 3-Year Average</t>
  </si>
  <si>
    <t>Actual Traditional Credit</t>
  </si>
  <si>
    <r>
      <t xml:space="preserve">Total Estimated Funding 
</t>
    </r>
    <r>
      <rPr>
        <sz val="11"/>
        <color theme="1"/>
        <rFont val="Calibri"/>
        <family val="2"/>
        <scheme val="minor"/>
      </rPr>
      <t>(not a final allocation)</t>
    </r>
  </si>
  <si>
    <t>% of District Funding</t>
  </si>
  <si>
    <r>
      <t xml:space="preserve">* SCFF values used for State Apportionment Funding are projected based on the most recently certified FTES, Headcount, and Outcome data as of </t>
    </r>
    <r>
      <rPr>
        <b/>
        <sz val="11"/>
        <rFont val="Calibri Light"/>
        <family val="2"/>
      </rPr>
      <t>03/01/2019</t>
    </r>
  </si>
  <si>
    <t>Source of Revenue</t>
  </si>
  <si>
    <t>State Revenue</t>
  </si>
  <si>
    <t>Carry Over Revenue/Prior Year Adj.</t>
  </si>
  <si>
    <t>Local/Dedicated Revenue</t>
  </si>
  <si>
    <t>Principle Apportionment Prior Year Adjustment</t>
  </si>
  <si>
    <t>Intrafund Transfers-In</t>
  </si>
  <si>
    <t>Account Name: Continuing Education Tuition Classe</t>
  </si>
  <si>
    <t>Account Name: Rentals &amp; Leases</t>
  </si>
  <si>
    <t>Account Name: Interest &amp; Investment Income</t>
  </si>
  <si>
    <t>Account Name: Student Records</t>
  </si>
  <si>
    <t>Non-Resident Tuition</t>
  </si>
  <si>
    <t>Account Name: RDA Pass-Through Payments</t>
  </si>
  <si>
    <t>Account Name: Enrollment Fee Waiver</t>
  </si>
  <si>
    <t>Account Name: Community Service Classes</t>
  </si>
  <si>
    <t>?</t>
  </si>
  <si>
    <t>Account Name: Prior Year Taxes (From Local Revenues)</t>
  </si>
  <si>
    <t>Instructional Materials Fees</t>
  </si>
  <si>
    <t xml:space="preserve">Districtwide </t>
  </si>
  <si>
    <t>District Services</t>
  </si>
  <si>
    <t>Interfund Transfers-In</t>
  </si>
  <si>
    <t>Health Services</t>
  </si>
  <si>
    <t>Miscellaneous</t>
  </si>
  <si>
    <t>Parking Meters &amp; Fines</t>
  </si>
  <si>
    <t>Other Contract Services</t>
  </si>
  <si>
    <t>Reported Data</t>
  </si>
  <si>
    <t>"enrollment fees"</t>
  </si>
  <si>
    <t>Class Audit Fees</t>
  </si>
  <si>
    <t>Coin Operated Copier</t>
  </si>
  <si>
    <t>Community Service Classes</t>
  </si>
  <si>
    <t>Continuing Education Tuition Classe</t>
  </si>
  <si>
    <t>Contract Instructional Services</t>
  </si>
  <si>
    <t>Contractor Commission</t>
  </si>
  <si>
    <t>Contrib, Gifts, Grants, &amp; Endowment</t>
  </si>
  <si>
    <t>Enrollment Status Verification</t>
  </si>
  <si>
    <t>ERAF</t>
  </si>
  <si>
    <t>Graduation Application Fee</t>
  </si>
  <si>
    <t>International Student Appl. Fee</t>
  </si>
  <si>
    <t>Other Student Fees &amp; Charges</t>
  </si>
  <si>
    <t>RDA Liquidation Revenue</t>
  </si>
  <si>
    <t>RDA Pass-Through Payments</t>
  </si>
  <si>
    <t>RDA Residual Revenue</t>
  </si>
  <si>
    <t>Refund Processing Fees</t>
  </si>
  <si>
    <t>Rentals &amp; Leases</t>
  </si>
  <si>
    <t>Return Check Charges</t>
  </si>
  <si>
    <t>Student Records</t>
  </si>
  <si>
    <t>Vending Commissions</t>
  </si>
  <si>
    <t>Expense Budget</t>
  </si>
  <si>
    <t>Local and Other (Unrestricted) Revenue</t>
  </si>
  <si>
    <t>Total Unrestricted Revenue</t>
  </si>
  <si>
    <t>Total Apportionment</t>
  </si>
  <si>
    <t>Adjustment</t>
  </si>
  <si>
    <t>College Apportionment</t>
  </si>
  <si>
    <t>Revenues:</t>
  </si>
  <si>
    <t>Part-Time Faculty Compensation*</t>
  </si>
  <si>
    <t>Lottery*</t>
  </si>
  <si>
    <t>Mandated Costs*</t>
  </si>
  <si>
    <t>Interest &amp; Investment Income*</t>
  </si>
  <si>
    <t>*Total</t>
  </si>
  <si>
    <t>3 Year Average Adjustment</t>
  </si>
  <si>
    <t>Red = distributed to the colleges based on FTES</t>
  </si>
  <si>
    <t>Enrollment Fee Waiver*</t>
  </si>
  <si>
    <t>Total Available Revenue</t>
  </si>
  <si>
    <t>Balance Sheet Summary</t>
  </si>
  <si>
    <t>Apportionment</t>
  </si>
  <si>
    <t>Total Other Unrestricted Revenue</t>
  </si>
  <si>
    <t>Expenditures</t>
  </si>
  <si>
    <t>Total Expenditures</t>
  </si>
  <si>
    <t>Revenues</t>
  </si>
  <si>
    <t>Academic Salaries</t>
  </si>
  <si>
    <t>Classified Salaries</t>
  </si>
  <si>
    <t>Supplies</t>
  </si>
  <si>
    <t>Other Operating</t>
  </si>
  <si>
    <t>Capital Outlay</t>
  </si>
  <si>
    <t>GF Expenses</t>
  </si>
  <si>
    <t>Self Supporting Expenses</t>
  </si>
  <si>
    <t>Districtwide Expenses</t>
  </si>
  <si>
    <t>Final Revenue Allocation</t>
  </si>
  <si>
    <t>Total Revenue, 2</t>
  </si>
  <si>
    <t>Total Revenue, 1</t>
  </si>
  <si>
    <t>Expenses</t>
  </si>
  <si>
    <t>(Other)</t>
  </si>
  <si>
    <t>Total  General Fund Expenditures</t>
  </si>
  <si>
    <t>Other Outgo</t>
  </si>
  <si>
    <t>Chargebacks</t>
  </si>
  <si>
    <t>*Fullerton College to SCE</t>
  </si>
  <si>
    <t>*Cypress College to SCE</t>
  </si>
  <si>
    <t>*Anaheim Campus Adjustment</t>
  </si>
  <si>
    <t xml:space="preserve">Total </t>
  </si>
  <si>
    <t>*These numbers are example numbers.</t>
  </si>
  <si>
    <t>Final Revenue</t>
  </si>
  <si>
    <t>Source of Expenditure</t>
  </si>
  <si>
    <t>*IT Chargeback</t>
  </si>
  <si>
    <t>COLA</t>
  </si>
  <si>
    <t>2019-20</t>
  </si>
  <si>
    <t>2019-20 Estimated Funding</t>
  </si>
  <si>
    <t>18-19 Headcounts</t>
  </si>
  <si>
    <t>18-19 Outcomes</t>
  </si>
  <si>
    <t xml:space="preserve">2019-20 P1 FTES </t>
  </si>
  <si>
    <t xml:space="preserve">2019-20 State Apportionment Funding </t>
  </si>
  <si>
    <t>Miscellaneous District Services</t>
  </si>
  <si>
    <t>Other Outgo/Contingencies</t>
  </si>
  <si>
    <t>Chargebacks as of 2018/19 Actual</t>
  </si>
  <si>
    <t>North Orange County Community College District: 
2019-20 Adopdted Budget Revenue Allocation</t>
  </si>
  <si>
    <t>Total SCFF 2019-20 State Apportionment</t>
  </si>
  <si>
    <t>North Orange County Community College District: 
2019-20 Adopted Budget Revenue Allocation</t>
  </si>
  <si>
    <t>North Orange County Community College District: 
2019-20 Adopted Budget Expenditure Allocation</t>
  </si>
  <si>
    <t>Coast Community College District: 
2019-20 Revenue Allocation</t>
  </si>
  <si>
    <t>District Office</t>
  </si>
  <si>
    <t>1. SCFF 2018-19 (2)</t>
  </si>
  <si>
    <t>2. Unrestricted Revenue (2)</t>
  </si>
  <si>
    <t xml:space="preserve">subtotal </t>
  </si>
  <si>
    <t>3. Revenue to District Office for District Services, 14%</t>
  </si>
  <si>
    <t>4. District Office Expenses and College Expenses</t>
  </si>
  <si>
    <t>subtotal</t>
  </si>
  <si>
    <t>5. Districtwide Expenses (4)</t>
  </si>
  <si>
    <r>
      <rPr>
        <sz val="14"/>
        <color theme="1"/>
        <rFont val="Calibri Light"/>
        <family val="2"/>
        <scheme val="major"/>
      </rPr>
      <t>6.</t>
    </r>
    <r>
      <rPr>
        <b/>
        <sz val="20"/>
        <color theme="1"/>
        <rFont val="Calibri Light"/>
        <family val="2"/>
        <scheme val="major"/>
      </rPr>
      <t xml:space="preserve"> Adjustments</t>
    </r>
  </si>
  <si>
    <t>*</t>
  </si>
  <si>
    <r>
      <rPr>
        <sz val="14"/>
        <rFont val="Calibri Light"/>
        <family val="2"/>
        <scheme val="major"/>
      </rPr>
      <t>7.</t>
    </r>
    <r>
      <rPr>
        <b/>
        <sz val="14"/>
        <rFont val="Calibri Light"/>
        <family val="2"/>
        <scheme val="major"/>
      </rPr>
      <t xml:space="preserve"> Total Final Revenue</t>
    </r>
  </si>
  <si>
    <t>RSCCD - Estimate 2019-20 Revenue Allocation Simulation for Unrestricted General Fund -- FD 11
Based on Student Centered Funding Formula - Hold Harmless Calculation 2017-18 TCR + COLA</t>
  </si>
  <si>
    <t>VERSION 2013-A</t>
  </si>
  <si>
    <t>2018-19 - Annual Period Attendance Reporting</t>
  </si>
  <si>
    <t>SAC</t>
  </si>
  <si>
    <t>CEC</t>
  </si>
  <si>
    <t>SCC</t>
  </si>
  <si>
    <t>OEC</t>
  </si>
  <si>
    <t>Institutional Cost</t>
  </si>
  <si>
    <t>TOTAL</t>
  </si>
  <si>
    <t>FTES Targets</t>
  </si>
  <si>
    <t>Residents</t>
  </si>
  <si>
    <t>Credit</t>
  </si>
  <si>
    <t>Non-Credit</t>
  </si>
  <si>
    <t>% Combined</t>
  </si>
  <si>
    <t>APPORTIONMENT REVENUE</t>
  </si>
  <si>
    <t>FTES - based on 18/19 Annual</t>
  </si>
  <si>
    <t>SCFF - Supplemental Allocation - based on 18/19 Annual</t>
  </si>
  <si>
    <t>CEC-CDCP</t>
  </si>
  <si>
    <t>SCFF - Student Success Allocation - based on 18/19 Annual</t>
  </si>
  <si>
    <t>Stabilization</t>
  </si>
  <si>
    <t>OEC-CDCP</t>
  </si>
  <si>
    <t>18/19  COLA - 2.71%</t>
  </si>
  <si>
    <t>base per credit FTES</t>
  </si>
  <si>
    <t>marginal funding per credit FTES</t>
  </si>
  <si>
    <t>19/20  COLA - 3.26%</t>
  </si>
  <si>
    <t>base per non-credit FTES</t>
  </si>
  <si>
    <t>marginal funding per non-credit FTES</t>
  </si>
  <si>
    <t>Deficit Coefficient (0.656%)</t>
  </si>
  <si>
    <t>Additional Deficit Built into 2012-13 Tentative Budget</t>
  </si>
  <si>
    <t>Property Tax Deficit Factor (ERAF)</t>
  </si>
  <si>
    <t>Enrollment Fee Deficit Factor</t>
  </si>
  <si>
    <t>base per non-credit CDCP FTES</t>
  </si>
  <si>
    <t>marginal funding per non-credit CDCP FTES</t>
  </si>
  <si>
    <t>Additional Student Centered Funding Formula</t>
  </si>
  <si>
    <t>TOTAL ESTIMATED APPORTIONMENT REVENUE</t>
  </si>
  <si>
    <t>Percentages</t>
  </si>
  <si>
    <t>Non-Resident</t>
  </si>
  <si>
    <t>Lottery %</t>
  </si>
  <si>
    <t>OTHER STATE REVENUE</t>
  </si>
  <si>
    <t>Lottery, Unrestricted</t>
  </si>
  <si>
    <t>State Mandate</t>
  </si>
  <si>
    <t>Full-Time Faculty Hiring Allocation</t>
  </si>
  <si>
    <t xml:space="preserve">Part-Time Faculty Compensation </t>
  </si>
  <si>
    <t>Subtotal, Other State Revenue</t>
  </si>
  <si>
    <t>TOTAL ESTIMATED REVENUE</t>
  </si>
  <si>
    <t>BASE</t>
  </si>
  <si>
    <t>17-18 actual</t>
  </si>
  <si>
    <t>Less Institutional Cost Expenditures</t>
  </si>
  <si>
    <t>Less Net District Services Expenditures</t>
  </si>
  <si>
    <t>ESTIMATED REVENUE</t>
  </si>
  <si>
    <t>BUDGET EXPENDITURES FOR FY 2019-20</t>
  </si>
  <si>
    <t>SAC/CEC</t>
  </si>
  <si>
    <t>SCC/OEC</t>
  </si>
  <si>
    <t>SAC/CEC Expenses - F/T &amp; Ongoing</t>
  </si>
  <si>
    <t>SCC/OEC Expenses - F/T &amp; Ongoing</t>
  </si>
  <si>
    <t>District Services Expenses - F/T &amp; Ongoing</t>
  </si>
  <si>
    <t xml:space="preserve">Projected COLA - 3.46% (FY 19-20) </t>
  </si>
  <si>
    <t>All Others</t>
  </si>
  <si>
    <t>Retirees Instructional-local experience charge</t>
  </si>
  <si>
    <t>Retirees Non-Instructional-local experience charge</t>
  </si>
  <si>
    <t>DO</t>
  </si>
  <si>
    <t>All Risks Insurance</t>
  </si>
  <si>
    <t>Property &amp; Liability</t>
  </si>
  <si>
    <t>Election</t>
  </si>
  <si>
    <t>Interfund Transfer</t>
  </si>
  <si>
    <t>TOTAL ESTIMATED EXPENDITURES</t>
  </si>
  <si>
    <t>Percent of Total Estimated Expenditures</t>
  </si>
  <si>
    <t>ASSUMPTIONS</t>
  </si>
  <si>
    <t>● STARTS WITH ORIGINAL SIMULATION BASED ON CONTRA COSTA CCD MODEL</t>
  </si>
  <si>
    <t>ESTIMATED EXPENSES UNDER/(OVER) REVENUE</t>
  </si>
  <si>
    <t>● ALLOCATES APPORTIONMENT REVENUE BASED ON SB361 FOR BASE ALLOCATION, APPROVED CENTERS AND FTES GENERATION</t>
  </si>
  <si>
    <t>● ALLOCATES OTHER NON-SPECIFIC STATE REVENUE BY FTES GENERATION</t>
  </si>
  <si>
    <t>Apprenticeship</t>
  </si>
  <si>
    <t xml:space="preserve">Enrollment Fees 2% </t>
  </si>
  <si>
    <t>● DEDUCTS DISTRICTWIDE EXPENSES AND ALLOCATES 19.49% OF REVENUE TO DISTRICT OPERATIONS PER 12/13 TENTATIVE BUDGET</t>
  </si>
  <si>
    <t>LOCAL REVENUE</t>
  </si>
  <si>
    <t>● SUBTRACTS TOTAL EXPENDITURES FROM ALLOCATED REVENUES AND PRODUCES A NET AMOUNT</t>
  </si>
  <si>
    <t>Non Resident Tuition</t>
  </si>
  <si>
    <t>Interest/Investments</t>
  </si>
  <si>
    <t>● THEN ALLOCATES 100% OF LOCAL AND OTHER SPECIFIC STATE REVENUE TO THE SITE THAT GENERATES IT</t>
  </si>
  <si>
    <t>Rents/Leases</t>
  </si>
  <si>
    <t>Proceeds-Sale of Equipment</t>
  </si>
  <si>
    <t>● PRODUCES A FINAL NET AMOUNT BY SITE</t>
  </si>
  <si>
    <t>Other Local</t>
  </si>
  <si>
    <t>Subtotal, Other Local Revenue</t>
  </si>
  <si>
    <t>ESTIMATED ENDING BALANCE FOR 6/30/20</t>
  </si>
  <si>
    <t>North Orange Community College District</t>
  </si>
  <si>
    <t>DISTRICT SERVICES</t>
  </si>
  <si>
    <t>Object</t>
  </si>
  <si>
    <t>Activity</t>
  </si>
  <si>
    <t>Account</t>
  </si>
  <si>
    <t>Account Hierarchy Title</t>
  </si>
  <si>
    <t>Orgn</t>
  </si>
  <si>
    <t>Org Title</t>
  </si>
  <si>
    <t>2019/20 General Fund Expenses</t>
  </si>
  <si>
    <t>VC Educational Services &amp; Tech.</t>
  </si>
  <si>
    <t>Human Resources</t>
  </si>
  <si>
    <t>Chancellor's Office</t>
  </si>
  <si>
    <t>Noninstructional Salaries</t>
  </si>
  <si>
    <t>Academic Administrators</t>
  </si>
  <si>
    <t>Technical Support Manager</t>
  </si>
  <si>
    <t>Application Support Manager</t>
  </si>
  <si>
    <t>Information Services Office</t>
  </si>
  <si>
    <t>Districtwide Staff Development</t>
  </si>
  <si>
    <t>Purchasing</t>
  </si>
  <si>
    <t>Risk Management</t>
  </si>
  <si>
    <t>Payroll</t>
  </si>
  <si>
    <t>Accounting</t>
  </si>
  <si>
    <t>Facilities Management</t>
  </si>
  <si>
    <t>Custodial Services</t>
  </si>
  <si>
    <t>Production</t>
  </si>
  <si>
    <t>Public Affairs</t>
  </si>
  <si>
    <t>Equity and Diversity</t>
  </si>
  <si>
    <t>Classified Monthly Salaries</t>
  </si>
  <si>
    <t>Classified Vacation Payout</t>
  </si>
  <si>
    <t>Internal Audit</t>
  </si>
  <si>
    <t>Safety</t>
  </si>
  <si>
    <t>Fiscal Affairs</t>
  </si>
  <si>
    <t>Vice Chancellor's Office</t>
  </si>
  <si>
    <t>Classified Administrators</t>
  </si>
  <si>
    <t>Classified Admin., Vacation Payout</t>
  </si>
  <si>
    <t>Confidential Monthly Salaries</t>
  </si>
  <si>
    <t>Noninstructional Salaries, Regular Status</t>
  </si>
  <si>
    <t>Hourly - Clerical/Secretarial</t>
  </si>
  <si>
    <t>Hourly - Professional</t>
  </si>
  <si>
    <t>Classified Monthly Overtime</t>
  </si>
  <si>
    <t>Classified Monthly Stipends</t>
  </si>
  <si>
    <t>Board of Trustees Salaries</t>
  </si>
  <si>
    <t>Board of Trustees</t>
  </si>
  <si>
    <t>Noninstructional Salaries, Other</t>
  </si>
  <si>
    <t>Employee Benefits</t>
  </si>
  <si>
    <t>State Teachers Ret. Sys (STRS) Fund</t>
  </si>
  <si>
    <t>Public Empls Retire Sys (PERS) Fund</t>
  </si>
  <si>
    <t>Old Age, Survi, Disab, &amp; Health Ins</t>
  </si>
  <si>
    <t>H &amp; W Current Employees</t>
  </si>
  <si>
    <t>State Unemployment Insurance</t>
  </si>
  <si>
    <t>Workers' Compensation</t>
  </si>
  <si>
    <t>Retiree Benefits</t>
  </si>
  <si>
    <t>Workers Compensation Insurance</t>
  </si>
  <si>
    <t>Software</t>
  </si>
  <si>
    <t>Books, Magazines, &amp; Periodicals</t>
  </si>
  <si>
    <t>Recruiting</t>
  </si>
  <si>
    <t>Maintenance &amp; Repairs</t>
  </si>
  <si>
    <t>Anaheim Maint. &amp; Operations</t>
  </si>
  <si>
    <t>Noninstructional Supplies, Material</t>
  </si>
  <si>
    <t>Noninstr Supplies, Material, Abatem</t>
  </si>
  <si>
    <t>Vehicle Supplies</t>
  </si>
  <si>
    <t>Noninst Supplies-Food/Hospitality</t>
  </si>
  <si>
    <t>Computer Related Supplies</t>
  </si>
  <si>
    <t>Supplies and Materials</t>
  </si>
  <si>
    <t>Other Operating Expenses &amp; Services</t>
  </si>
  <si>
    <t>Audit</t>
  </si>
  <si>
    <t>Contracted Services (Computer Relat</t>
  </si>
  <si>
    <t>Dues &amp; Membership</t>
  </si>
  <si>
    <t>Legal - Human Resource Issues</t>
  </si>
  <si>
    <t>Personal &amp; Consultant Services</t>
  </si>
  <si>
    <t>Postage</t>
  </si>
  <si>
    <t>Rents &amp; Leases</t>
  </si>
  <si>
    <t>Building Repairs</t>
  </si>
  <si>
    <t>Security</t>
  </si>
  <si>
    <t>Equipment Repairs</t>
  </si>
  <si>
    <t>Maintenance Agreements</t>
  </si>
  <si>
    <t>P &amp; L - Losses</t>
  </si>
  <si>
    <t>Travel &amp; Conference - Employees</t>
  </si>
  <si>
    <t>Travel &amp; Conference - Non-employees</t>
  </si>
  <si>
    <t>Inservice</t>
  </si>
  <si>
    <t>Mileage</t>
  </si>
  <si>
    <t>Utilities</t>
  </si>
  <si>
    <t>Electricity</t>
  </si>
  <si>
    <t>Gas</t>
  </si>
  <si>
    <t>Water</t>
  </si>
  <si>
    <t>Telephone</t>
  </si>
  <si>
    <t>Waste Disposal</t>
  </si>
  <si>
    <t>Hazardous Waste Removal</t>
  </si>
  <si>
    <t>Laundry Services</t>
  </si>
  <si>
    <t>Bank Charges</t>
  </si>
  <si>
    <t>Advertising</t>
  </si>
  <si>
    <t>Fingerprinting</t>
  </si>
  <si>
    <t>Reprographics</t>
  </si>
  <si>
    <t>Health Examinations</t>
  </si>
  <si>
    <t>TB Testing</t>
  </si>
  <si>
    <t>Entry Fees</t>
  </si>
  <si>
    <t>Mandated Fees</t>
  </si>
  <si>
    <t>Seminars &amp; Workshops</t>
  </si>
  <si>
    <t>Business Related Meals</t>
  </si>
  <si>
    <t>Indirect Costs</t>
  </si>
  <si>
    <t>Other Operating Expenses and Services</t>
  </si>
  <si>
    <t>Sites and Site Improvements</t>
  </si>
  <si>
    <t>Site Imp - Tests &amp; Inspections</t>
  </si>
  <si>
    <t>Building Improvements</t>
  </si>
  <si>
    <t>Building Imp -Tech Consultant</t>
  </si>
  <si>
    <t>Building Imp - Plan Check Fees</t>
  </si>
  <si>
    <t>Building Imp - Tests &amp; Inspections</t>
  </si>
  <si>
    <t>Buildings</t>
  </si>
  <si>
    <t>Equipment over $1000</t>
  </si>
  <si>
    <t>Equipment between $500 and $1000</t>
  </si>
  <si>
    <t>Comp &amp; Related Equip over $1,000</t>
  </si>
  <si>
    <t>Comp Equip between $500 and $1000</t>
  </si>
  <si>
    <t>Equipment</t>
  </si>
  <si>
    <t>Other Reserve for Contingencies</t>
  </si>
  <si>
    <t>Contingencies</t>
  </si>
  <si>
    <t>Debt Retirement (Long-Term Debt)</t>
  </si>
  <si>
    <t>DISTRICTWIDE</t>
  </si>
  <si>
    <t>Acct Category</t>
  </si>
  <si>
    <t>Acct</t>
  </si>
  <si>
    <t>Acct Title</t>
  </si>
  <si>
    <t>Prog</t>
  </si>
  <si>
    <t>Acty</t>
  </si>
  <si>
    <t>Locn</t>
  </si>
  <si>
    <t>Original Budget</t>
  </si>
  <si>
    <t>Hourly Instr, Sabbatical Replace</t>
  </si>
  <si>
    <t xml:space="preserve"> </t>
  </si>
  <si>
    <t>I</t>
  </si>
  <si>
    <t>Related Activities</t>
  </si>
  <si>
    <t>Districtwide</t>
  </si>
  <si>
    <t>H &amp; W Retired Employees</t>
  </si>
  <si>
    <t>N</t>
  </si>
  <si>
    <t>Insurance Premiums</t>
  </si>
  <si>
    <t>Student Insurance</t>
  </si>
  <si>
    <t>Interest</t>
  </si>
  <si>
    <t>Rideshare Incentives</t>
  </si>
  <si>
    <t>Interfund Transfers Out</t>
  </si>
  <si>
    <t>Revenue to District Office,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</si>
</sst>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0.0%"/>
    <numFmt numFmtId="168" formatCode="\$#,##0"/>
    <numFmt numFmtId="169" formatCode="#,##0.0_);\(#,##0.0\)"/>
    <numFmt numFmtId="170" formatCode="_(* #,##0.0_);_(* \(#,##0.0\);_(* &quot;-&quot;??_);_(@_)"/>
    <numFmt numFmtId="171" formatCode="General_)"/>
    <numFmt numFmtId="172" formatCode="_(&quot;$&quot;* #,##0.00_);_(&quot;$&quot;* \(#,##0.00\);_(&quot;$&quot;* &quot;0&quot;??_);_(@_)"/>
    <numFmt numFmtId="173" formatCode="00"/>
    <numFmt numFmtId="174" formatCode="_(&quot;$&quot;* #,##0.00000_);_(&quot;$&quot;* \(#,##0.00000\);_(&quot;$&quot;* &quot;-&quot;??_);_(@_)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Book Antiqua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Book Antiqua"/>
      <family val="1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0"/>
      <name val="Book Antiqua"/>
      <family val="1"/>
    </font>
    <font>
      <sz val="11"/>
      <color theme="1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sz val="12"/>
      <name val="Book Antiqua"/>
      <family val="1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name val="Calibri Light"/>
      <family val="2"/>
      <scheme val="major"/>
    </font>
    <font>
      <b/>
      <sz val="16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9.75"/>
      <name val="Helv"/>
    </font>
    <font>
      <sz val="10"/>
      <name val="Courier"/>
      <family val="3"/>
    </font>
    <font>
      <sz val="10"/>
      <name val="Times New Roman"/>
      <family val="1"/>
    </font>
    <font>
      <sz val="1"/>
      <color indexed="8"/>
      <name val="Courier"/>
      <family val="3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Arial"/>
      <family val="2"/>
    </font>
    <font>
      <sz val="8"/>
      <name val="Futura MdCn BT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rgb="FFAD1F2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 Light"/>
      <family val="2"/>
    </font>
    <font>
      <b/>
      <sz val="11"/>
      <name val="Calibri Light"/>
      <family val="2"/>
    </font>
    <font>
      <b/>
      <sz val="20"/>
      <name val="Calibri"/>
      <family val="2"/>
      <scheme val="minor"/>
    </font>
    <font>
      <b/>
      <sz val="22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rgb="FFFF0000"/>
      <name val="Calibri Light"/>
      <family val="2"/>
      <scheme val="major"/>
    </font>
    <font>
      <sz val="11"/>
      <color theme="4"/>
      <name val="Calibri Light"/>
      <family val="2"/>
      <scheme val="major"/>
    </font>
    <font>
      <sz val="13"/>
      <color theme="1"/>
      <name val="Calibri"/>
      <family val="2"/>
      <scheme val="minor"/>
    </font>
    <font>
      <sz val="13"/>
      <color theme="2" tint="-9.9978637043366805E-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 Light"/>
      <family val="2"/>
      <scheme val="major"/>
    </font>
    <font>
      <u/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name val="Calibri Light"/>
      <family val="2"/>
      <scheme val="major"/>
    </font>
    <font>
      <b/>
      <sz val="14"/>
      <name val="Calibri Light"/>
      <family val="2"/>
      <scheme val="major"/>
    </font>
    <font>
      <u/>
      <sz val="14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1"/>
      <color theme="1"/>
      <name val="Times New Roman"/>
      <family val="1"/>
    </font>
    <font>
      <b/>
      <sz val="18"/>
      <name val="Times New Roman"/>
      <family val="1"/>
    </font>
    <font>
      <b/>
      <sz val="20"/>
      <color theme="1"/>
      <name val="Times New Roman"/>
      <family val="1"/>
    </font>
    <font>
      <b/>
      <sz val="18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9"/>
      <color theme="1"/>
      <name val="Times New Roman"/>
      <family val="1"/>
    </font>
    <font>
      <i/>
      <sz val="13"/>
      <color rgb="FFFF0000"/>
      <name val="Calibri"/>
      <family val="2"/>
      <scheme val="minor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6"/>
      <name val="Times New Roman"/>
      <family val="1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rgb="FF000000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ED4FC"/>
        <bgColor indexed="64"/>
      </patternFill>
    </fill>
    <fill>
      <patternFill patternType="solid">
        <fgColor rgb="FFDCA9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627"/>
        <bgColor indexed="64"/>
      </patternFill>
    </fill>
    <fill>
      <patternFill patternType="solid">
        <fgColor rgb="FF193D5E"/>
        <bgColor indexed="64"/>
      </patternFill>
    </fill>
    <fill>
      <patternFill patternType="solid">
        <fgColor rgb="FF569E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5E7D"/>
        <bgColor indexed="64"/>
      </patternFill>
    </fill>
    <fill>
      <patternFill patternType="solid">
        <fgColor rgb="FFFFE70C"/>
        <bgColor indexed="64"/>
      </patternFill>
    </fill>
    <fill>
      <patternFill patternType="solid">
        <fgColor rgb="FFF79137"/>
        <bgColor indexed="64"/>
      </patternFill>
    </fill>
    <fill>
      <patternFill patternType="solid">
        <fgColor rgb="FF00685F"/>
        <bgColor indexed="64"/>
      </patternFill>
    </fill>
    <fill>
      <patternFill patternType="solid">
        <fgColor rgb="FF0897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thin">
        <color indexed="64"/>
      </left>
      <right/>
      <top style="double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theme="1"/>
      </top>
      <bottom style="double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medium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rgb="FF0D5D56"/>
      </bottom>
      <diagonal/>
    </border>
    <border>
      <left style="thin">
        <color indexed="64"/>
      </left>
      <right/>
      <top style="medium">
        <color theme="0"/>
      </top>
      <bottom style="medium">
        <color theme="1"/>
      </bottom>
      <diagonal/>
    </border>
    <border>
      <left/>
      <right style="thin">
        <color indexed="64"/>
      </right>
      <top style="medium">
        <color theme="0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theme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theme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9" tint="-0.499984740745262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thin">
        <color theme="9" tint="-0.499984740745262"/>
      </left>
      <right/>
      <top/>
      <bottom style="hair">
        <color indexed="64"/>
      </bottom>
      <diagonal/>
    </border>
    <border>
      <left/>
      <right style="thin">
        <color theme="9" tint="-0.499984740745262"/>
      </right>
      <top/>
      <bottom style="medium">
        <color theme="1"/>
      </bottom>
      <diagonal/>
    </border>
    <border>
      <left style="thin">
        <color theme="9" tint="-0.499984740745262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hair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9" tint="-0.499984740745262"/>
      </left>
      <right style="hair">
        <color theme="1"/>
      </right>
      <top/>
      <bottom/>
      <diagonal/>
    </border>
    <border>
      <left style="thin">
        <color theme="9" tint="-0.499984740745262"/>
      </left>
      <right/>
      <top style="medium">
        <color theme="1"/>
      </top>
      <bottom/>
      <diagonal/>
    </border>
    <border>
      <left style="thin">
        <color theme="9" tint="-0.499984740745262"/>
      </left>
      <right/>
      <top/>
      <bottom style="medium">
        <color theme="0"/>
      </bottom>
      <diagonal/>
    </border>
    <border>
      <left style="thin">
        <color theme="9" tint="-0.499984740745262"/>
      </left>
      <right style="hair">
        <color theme="1"/>
      </right>
      <top/>
      <bottom style="medium">
        <color theme="0"/>
      </bottom>
      <diagonal/>
    </border>
    <border>
      <left style="hair">
        <color theme="1"/>
      </left>
      <right/>
      <top/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theme="9" tint="-0.499984740745262"/>
      </left>
      <right/>
      <top style="medium">
        <color theme="0"/>
      </top>
      <bottom/>
      <diagonal/>
    </border>
    <border>
      <left style="thin">
        <color theme="9" tint="-0.499984740745262"/>
      </left>
      <right style="hair">
        <color theme="1"/>
      </right>
      <top style="medium">
        <color theme="0"/>
      </top>
      <bottom/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medium">
        <color theme="0"/>
      </bottom>
      <diagonal/>
    </border>
    <border>
      <left/>
      <right style="thin">
        <color theme="9" tint="-0.499984740745262"/>
      </right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 style="medium">
        <color indexed="64"/>
      </bottom>
      <diagonal/>
    </border>
    <border>
      <left style="hair">
        <color theme="1"/>
      </left>
      <right/>
      <top style="medium">
        <color theme="0"/>
      </top>
      <bottom style="medium">
        <color indexed="64"/>
      </bottom>
      <diagonal/>
    </border>
    <border>
      <left style="hair">
        <color theme="1"/>
      </left>
      <right/>
      <top style="medium">
        <color theme="0"/>
      </top>
      <bottom/>
      <diagonal/>
    </border>
    <border>
      <left style="hair">
        <color theme="1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thin">
        <color theme="9" tint="-0.499984740745262"/>
      </left>
      <right style="hair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/>
      <right style="thin">
        <color theme="9" tint="-0.499984740745262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hair">
        <color theme="1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theme="1"/>
      </top>
      <bottom/>
      <diagonal/>
    </border>
    <border>
      <left style="hair">
        <color indexed="64"/>
      </left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rgb="FF015E7D"/>
      </right>
      <top style="medium">
        <color indexed="64"/>
      </top>
      <bottom/>
      <diagonal/>
    </border>
    <border>
      <left style="medium">
        <color theme="4"/>
      </left>
      <right/>
      <top/>
      <bottom/>
      <diagonal/>
    </border>
    <border>
      <left style="mediumDashed">
        <color theme="9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91" applyNumberFormat="0" applyFill="0" applyAlignment="0" applyProtection="0"/>
    <xf numFmtId="0" fontId="40" fillId="0" borderId="92" applyNumberFormat="0" applyFill="0" applyAlignment="0" applyProtection="0"/>
    <xf numFmtId="0" fontId="41" fillId="0" borderId="93" applyNumberFormat="0" applyFill="0" applyAlignment="0" applyProtection="0"/>
    <xf numFmtId="0" fontId="41" fillId="0" borderId="0" applyNumberFormat="0" applyFill="0" applyBorder="0" applyAlignment="0" applyProtection="0"/>
    <xf numFmtId="0" fontId="42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11" borderId="94" applyNumberFormat="0" applyAlignment="0" applyProtection="0"/>
    <xf numFmtId="0" fontId="45" fillId="12" borderId="95" applyNumberFormat="0" applyAlignment="0" applyProtection="0"/>
    <xf numFmtId="0" fontId="46" fillId="12" borderId="94" applyNumberFormat="0" applyAlignment="0" applyProtection="0"/>
    <xf numFmtId="0" fontId="47" fillId="0" borderId="96" applyNumberFormat="0" applyFill="0" applyAlignment="0" applyProtection="0"/>
    <xf numFmtId="0" fontId="48" fillId="13" borderId="97" applyNumberFormat="0" applyAlignment="0" applyProtection="0"/>
    <xf numFmtId="0" fontId="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99" applyNumberFormat="0" applyFill="0" applyAlignment="0" applyProtection="0"/>
    <xf numFmtId="0" fontId="5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6" fillId="10" borderId="0" applyNumberFormat="0" applyBorder="0" applyAlignment="0" applyProtection="0"/>
    <xf numFmtId="0" fontId="50" fillId="18" borderId="0" applyNumberFormat="0" applyBorder="0" applyAlignment="0" applyProtection="0"/>
    <xf numFmtId="0" fontId="50" fillId="22" borderId="0" applyNumberFormat="0" applyBorder="0" applyAlignment="0" applyProtection="0"/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4" borderId="0" applyNumberFormat="0" applyBorder="0" applyAlignment="0" applyProtection="0"/>
    <xf numFmtId="0" fontId="50" fillId="38" borderId="0" applyNumberFormat="0" applyBorder="0" applyAlignment="0" applyProtection="0"/>
    <xf numFmtId="43" fontId="53" fillId="0" borderId="0" applyFont="0" applyFill="0" applyBorder="0" applyAlignment="0" applyProtection="0"/>
    <xf numFmtId="41" fontId="1" fillId="0" borderId="0" applyFont="0" applyFill="0" applyBorder="0" applyAlignment="0" applyProtection="0"/>
    <xf numFmtId="38" fontId="5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quotePrefix="1" applyFont="0" applyFill="0" applyBorder="0" applyAlignment="0">
      <protection locked="0"/>
    </xf>
    <xf numFmtId="44" fontId="1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3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54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64" fillId="0" borderId="0"/>
    <xf numFmtId="0" fontId="55" fillId="0" borderId="0"/>
    <xf numFmtId="0" fontId="53" fillId="0" borderId="0">
      <alignment wrapText="1"/>
    </xf>
    <xf numFmtId="0" fontId="53" fillId="0" borderId="0"/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1" fillId="0" borderId="0"/>
    <xf numFmtId="171" fontId="59" fillId="0" borderId="0"/>
    <xf numFmtId="0" fontId="53" fillId="0" borderId="0">
      <alignment wrapText="1"/>
    </xf>
    <xf numFmtId="0" fontId="53" fillId="0" borderId="0">
      <alignment wrapText="1"/>
    </xf>
    <xf numFmtId="0" fontId="54" fillId="0" borderId="0"/>
    <xf numFmtId="0" fontId="58" fillId="0" borderId="0"/>
    <xf numFmtId="0" fontId="59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1" fillId="0" borderId="0"/>
    <xf numFmtId="0" fontId="1" fillId="14" borderId="98" applyNumberFormat="0" applyFont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1" fillId="0" borderId="0"/>
    <xf numFmtId="0" fontId="65" fillId="0" borderId="0" applyNumberFormat="0" applyBorder="0"/>
    <xf numFmtId="0" fontId="68" fillId="0" borderId="0" applyNumberFormat="0" applyFill="0" applyBorder="0" applyAlignment="0" applyProtection="0"/>
    <xf numFmtId="44" fontId="5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60" fillId="0" borderId="0"/>
  </cellStyleXfs>
  <cellXfs count="1214">
    <xf numFmtId="0" fontId="0" fillId="0" borderId="0" xfId="0"/>
    <xf numFmtId="0" fontId="5" fillId="0" borderId="0" xfId="0" applyFont="1"/>
    <xf numFmtId="0" fontId="2" fillId="0" borderId="0" xfId="0" applyFont="1"/>
    <xf numFmtId="164" fontId="17" fillId="3" borderId="14" xfId="3" applyNumberFormat="1" applyFont="1" applyFill="1" applyBorder="1" applyAlignment="1">
      <alignment horizontal="right"/>
    </xf>
    <xf numFmtId="164" fontId="20" fillId="3" borderId="12" xfId="3" applyNumberFormat="1" applyFont="1" applyFill="1" applyBorder="1" applyAlignment="1">
      <alignment horizontal="right" vertical="center"/>
    </xf>
    <xf numFmtId="164" fontId="17" fillId="3" borderId="18" xfId="3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right" vertical="center" wrapText="1"/>
    </xf>
    <xf numFmtId="164" fontId="16" fillId="2" borderId="20" xfId="3" applyNumberFormat="1" applyFont="1" applyFill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/>
    </xf>
    <xf numFmtId="0" fontId="14" fillId="2" borderId="22" xfId="0" applyFont="1" applyFill="1" applyBorder="1"/>
    <xf numFmtId="164" fontId="21" fillId="3" borderId="24" xfId="0" applyNumberFormat="1" applyFont="1" applyFill="1" applyBorder="1" applyAlignment="1">
      <alignment horizontal="right" vertical="center"/>
    </xf>
    <xf numFmtId="0" fontId="16" fillId="2" borderId="20" xfId="0" applyFont="1" applyFill="1" applyBorder="1" applyAlignment="1">
      <alignment horizontal="right" wrapText="1"/>
    </xf>
    <xf numFmtId="165" fontId="16" fillId="2" borderId="21" xfId="1" applyNumberFormat="1" applyFont="1" applyFill="1" applyBorder="1" applyAlignment="1">
      <alignment horizontal="right" wrapText="1"/>
    </xf>
    <xf numFmtId="0" fontId="17" fillId="2" borderId="22" xfId="0" applyFont="1" applyFill="1" applyBorder="1"/>
    <xf numFmtId="0" fontId="17" fillId="2" borderId="20" xfId="0" applyFont="1" applyFill="1" applyBorder="1" applyAlignment="1">
      <alignment horizontal="right" wrapText="1"/>
    </xf>
    <xf numFmtId="165" fontId="17" fillId="2" borderId="21" xfId="0" applyNumberFormat="1" applyFont="1" applyFill="1" applyBorder="1" applyAlignment="1">
      <alignment horizontal="right" wrapText="1"/>
    </xf>
    <xf numFmtId="0" fontId="22" fillId="0" borderId="33" xfId="0" applyFont="1" applyBorder="1" applyAlignment="1">
      <alignment horizontal="right"/>
    </xf>
    <xf numFmtId="164" fontId="20" fillId="0" borderId="34" xfId="3" applyNumberFormat="1" applyFont="1" applyBorder="1" applyAlignment="1">
      <alignment horizontal="right"/>
    </xf>
    <xf numFmtId="164" fontId="20" fillId="0" borderId="1" xfId="3" applyNumberFormat="1" applyFont="1" applyBorder="1" applyAlignment="1">
      <alignment horizontal="right"/>
    </xf>
    <xf numFmtId="164" fontId="22" fillId="0" borderId="1" xfId="3" applyNumberFormat="1" applyFont="1" applyBorder="1" applyAlignment="1">
      <alignment horizontal="right"/>
    </xf>
    <xf numFmtId="164" fontId="22" fillId="0" borderId="2" xfId="3" applyNumberFormat="1" applyFont="1" applyBorder="1" applyAlignment="1">
      <alignment horizontal="right"/>
    </xf>
    <xf numFmtId="0" fontId="22" fillId="0" borderId="0" xfId="0" applyFont="1" applyAlignment="1">
      <alignment horizontal="center" textRotation="90"/>
    </xf>
    <xf numFmtId="165" fontId="24" fillId="5" borderId="3" xfId="1" applyNumberFormat="1" applyFont="1" applyFill="1" applyBorder="1" applyAlignment="1">
      <alignment vertical="center"/>
    </xf>
    <xf numFmtId="164" fontId="25" fillId="5" borderId="3" xfId="3" applyNumberFormat="1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164" fontId="24" fillId="5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7" xfId="0" applyFont="1" applyFill="1" applyBorder="1" applyAlignment="1">
      <alignment horizontal="center"/>
    </xf>
    <xf numFmtId="164" fontId="27" fillId="5" borderId="2" xfId="3" applyNumberFormat="1" applyFont="1" applyFill="1" applyBorder="1" applyAlignment="1">
      <alignment horizontal="center"/>
    </xf>
    <xf numFmtId="10" fontId="5" fillId="5" borderId="17" xfId="0" applyNumberFormat="1" applyFont="1" applyFill="1" applyBorder="1" applyAlignment="1">
      <alignment horizontal="center"/>
    </xf>
    <xf numFmtId="164" fontId="5" fillId="5" borderId="0" xfId="3" applyNumberFormat="1" applyFont="1" applyFill="1" applyAlignment="1">
      <alignment horizontal="center" wrapText="1"/>
    </xf>
    <xf numFmtId="10" fontId="5" fillId="5" borderId="36" xfId="0" applyNumberFormat="1" applyFont="1" applyFill="1" applyBorder="1" applyAlignment="1">
      <alignment horizontal="center"/>
    </xf>
    <xf numFmtId="164" fontId="5" fillId="5" borderId="37" xfId="3" applyNumberFormat="1" applyFont="1" applyFill="1" applyBorder="1" applyAlignment="1">
      <alignment horizontal="center" wrapText="1"/>
    </xf>
    <xf numFmtId="0" fontId="22" fillId="6" borderId="0" xfId="0" applyFont="1" applyFill="1" applyAlignment="1">
      <alignment horizontal="center" textRotation="90"/>
    </xf>
    <xf numFmtId="9" fontId="29" fillId="5" borderId="14" xfId="2" applyFont="1" applyFill="1" applyBorder="1"/>
    <xf numFmtId="164" fontId="29" fillId="5" borderId="39" xfId="3" applyNumberFormat="1" applyFont="1" applyFill="1" applyBorder="1"/>
    <xf numFmtId="0" fontId="0" fillId="6" borderId="0" xfId="0" applyFill="1"/>
    <xf numFmtId="9" fontId="29" fillId="5" borderId="40" xfId="2" applyFont="1" applyFill="1" applyBorder="1"/>
    <xf numFmtId="164" fontId="29" fillId="5" borderId="0" xfId="3" applyNumberFormat="1" applyFont="1" applyFill="1"/>
    <xf numFmtId="44" fontId="0" fillId="5" borderId="42" xfId="0" applyNumberFormat="1" applyFill="1" applyBorder="1"/>
    <xf numFmtId="164" fontId="29" fillId="5" borderId="45" xfId="3" applyNumberFormat="1" applyFont="1" applyFill="1" applyBorder="1"/>
    <xf numFmtId="10" fontId="30" fillId="5" borderId="48" xfId="2" applyNumberFormat="1" applyFont="1" applyFill="1" applyBorder="1" applyAlignment="1">
      <alignment horizontal="center" vertical="center"/>
    </xf>
    <xf numFmtId="164" fontId="29" fillId="5" borderId="49" xfId="3" applyNumberFormat="1" applyFont="1" applyFill="1" applyBorder="1"/>
    <xf numFmtId="0" fontId="0" fillId="6" borderId="8" xfId="0" applyFill="1" applyBorder="1"/>
    <xf numFmtId="167" fontId="0" fillId="0" borderId="0" xfId="2" applyNumberFormat="1" applyFont="1"/>
    <xf numFmtId="43" fontId="29" fillId="5" borderId="48" xfId="1" applyFont="1" applyFill="1" applyBorder="1"/>
    <xf numFmtId="167" fontId="0" fillId="6" borderId="0" xfId="2" applyNumberFormat="1" applyFont="1" applyFill="1"/>
    <xf numFmtId="43" fontId="29" fillId="7" borderId="48" xfId="1" applyFont="1" applyFill="1" applyBorder="1"/>
    <xf numFmtId="164" fontId="29" fillId="7" borderId="49" xfId="3" applyNumberFormat="1" applyFont="1" applyFill="1" applyBorder="1"/>
    <xf numFmtId="43" fontId="29" fillId="7" borderId="50" xfId="1" applyFont="1" applyFill="1" applyBorder="1"/>
    <xf numFmtId="167" fontId="34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165" fontId="25" fillId="5" borderId="52" xfId="0" applyNumberFormat="1" applyFont="1" applyFill="1" applyBorder="1" applyAlignment="1">
      <alignment horizontal="right" vertical="center" wrapText="1"/>
    </xf>
    <xf numFmtId="164" fontId="5" fillId="5" borderId="49" xfId="3" applyNumberFormat="1" applyFont="1" applyFill="1" applyBorder="1" applyAlignment="1">
      <alignment vertical="center"/>
    </xf>
    <xf numFmtId="167" fontId="5" fillId="6" borderId="0" xfId="2" applyNumberFormat="1" applyFont="1" applyFill="1"/>
    <xf numFmtId="0" fontId="30" fillId="5" borderId="53" xfId="0" applyFont="1" applyFill="1" applyBorder="1" applyAlignment="1">
      <alignment horizontal="center" vertical="center"/>
    </xf>
    <xf numFmtId="164" fontId="29" fillId="5" borderId="4" xfId="3" applyNumberFormat="1" applyFont="1" applyFill="1" applyBorder="1"/>
    <xf numFmtId="167" fontId="0" fillId="6" borderId="4" xfId="2" applyNumberFormat="1" applyFont="1" applyFill="1" applyBorder="1"/>
    <xf numFmtId="167" fontId="0" fillId="0" borderId="17" xfId="2" applyNumberFormat="1" applyFont="1" applyBorder="1"/>
    <xf numFmtId="165" fontId="29" fillId="5" borderId="48" xfId="1" applyNumberFormat="1" applyFont="1" applyFill="1" applyBorder="1"/>
    <xf numFmtId="167" fontId="34" fillId="0" borderId="17" xfId="2" applyNumberFormat="1" applyFont="1" applyBorder="1" applyAlignment="1">
      <alignment vertical="center"/>
    </xf>
    <xf numFmtId="164" fontId="5" fillId="5" borderId="56" xfId="3" applyNumberFormat="1" applyFont="1" applyFill="1" applyBorder="1" applyAlignment="1">
      <alignment vertical="center"/>
    </xf>
    <xf numFmtId="0" fontId="35" fillId="5" borderId="59" xfId="0" applyFont="1" applyFill="1" applyBorder="1" applyAlignment="1">
      <alignment horizontal="center" vertical="center" wrapText="1"/>
    </xf>
    <xf numFmtId="165" fontId="29" fillId="5" borderId="48" xfId="1" applyNumberFormat="1" applyFont="1" applyFill="1" applyBorder="1" applyAlignment="1">
      <alignment vertical="top"/>
    </xf>
    <xf numFmtId="165" fontId="29" fillId="7" borderId="48" xfId="1" applyNumberFormat="1" applyFont="1" applyFill="1" applyBorder="1" applyAlignment="1">
      <alignment vertical="top"/>
    </xf>
    <xf numFmtId="167" fontId="34" fillId="0" borderId="0" xfId="2" applyNumberFormat="1" applyFont="1"/>
    <xf numFmtId="165" fontId="33" fillId="5" borderId="60" xfId="1" applyNumberFormat="1" applyFont="1" applyFill="1" applyBorder="1" applyAlignment="1">
      <alignment horizontal="right" vertical="top" wrapText="1"/>
    </xf>
    <xf numFmtId="164" fontId="29" fillId="5" borderId="62" xfId="3" applyNumberFormat="1" applyFont="1" applyFill="1" applyBorder="1"/>
    <xf numFmtId="165" fontId="29" fillId="5" borderId="64" xfId="1" applyNumberFormat="1" applyFont="1" applyFill="1" applyBorder="1" applyAlignment="1">
      <alignment vertical="top"/>
    </xf>
    <xf numFmtId="167" fontId="1" fillId="6" borderId="0" xfId="2" applyNumberFormat="1" applyFill="1"/>
    <xf numFmtId="165" fontId="25" fillId="5" borderId="64" xfId="1" applyNumberFormat="1" applyFont="1" applyFill="1" applyBorder="1" applyAlignment="1">
      <alignment horizontal="right" vertical="center" wrapText="1"/>
    </xf>
    <xf numFmtId="164" fontId="5" fillId="5" borderId="71" xfId="3" applyNumberFormat="1" applyFont="1" applyFill="1" applyBorder="1" applyAlignment="1">
      <alignment vertical="center"/>
    </xf>
    <xf numFmtId="167" fontId="5" fillId="6" borderId="3" xfId="2" applyNumberFormat="1" applyFont="1" applyFill="1" applyBorder="1"/>
    <xf numFmtId="0" fontId="0" fillId="0" borderId="0" xfId="0" applyAlignment="1">
      <alignment horizontal="right"/>
    </xf>
    <xf numFmtId="167" fontId="34" fillId="6" borderId="0" xfId="2" applyNumberFormat="1" applyFont="1" applyFill="1" applyAlignment="1">
      <alignment vertical="center"/>
    </xf>
    <xf numFmtId="164" fontId="0" fillId="0" borderId="0" xfId="3" applyNumberFormat="1" applyFont="1"/>
    <xf numFmtId="0" fontId="3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8" fontId="37" fillId="0" borderId="77" xfId="0" applyNumberFormat="1" applyFont="1" applyBorder="1"/>
    <xf numFmtId="0" fontId="2" fillId="0" borderId="0" xfId="0" applyFont="1" applyAlignment="1">
      <alignment horizontal="centerContinuous"/>
    </xf>
    <xf numFmtId="0" fontId="6" fillId="0" borderId="80" xfId="0" applyFont="1" applyBorder="1"/>
    <xf numFmtId="0" fontId="6" fillId="0" borderId="81" xfId="0" applyFont="1" applyBorder="1" applyAlignment="1">
      <alignment horizontal="centerContinuous"/>
    </xf>
    <xf numFmtId="0" fontId="2" fillId="0" borderId="81" xfId="0" applyFont="1" applyBorder="1" applyAlignment="1">
      <alignment horizontal="centerContinuous"/>
    </xf>
    <xf numFmtId="0" fontId="38" fillId="0" borderId="82" xfId="0" applyFont="1" applyBorder="1" applyAlignment="1">
      <alignment horizontal="center" wrapText="1"/>
    </xf>
    <xf numFmtId="0" fontId="37" fillId="0" borderId="75" xfId="0" applyFont="1" applyBorder="1" applyAlignment="1">
      <alignment horizontal="left" indent="2"/>
    </xf>
    <xf numFmtId="0" fontId="37" fillId="0" borderId="78" xfId="0" applyFont="1" applyBorder="1" applyAlignment="1">
      <alignment horizontal="left" indent="2"/>
    </xf>
    <xf numFmtId="168" fontId="37" fillId="0" borderId="83" xfId="0" applyNumberFormat="1" applyFont="1" applyBorder="1"/>
    <xf numFmtId="0" fontId="37" fillId="0" borderId="78" xfId="0" applyFont="1" applyBorder="1" applyAlignment="1">
      <alignment horizontal="left" vertical="top" indent="2"/>
    </xf>
    <xf numFmtId="168" fontId="6" fillId="0" borderId="82" xfId="0" applyNumberFormat="1" applyFont="1" applyBorder="1"/>
    <xf numFmtId="43" fontId="0" fillId="0" borderId="0" xfId="0" applyNumberFormat="1"/>
    <xf numFmtId="9" fontId="29" fillId="5" borderId="0" xfId="2" applyFont="1" applyFill="1"/>
    <xf numFmtId="0" fontId="6" fillId="0" borderId="85" xfId="0" applyFont="1" applyBorder="1" applyAlignment="1">
      <alignment horizontal="right"/>
    </xf>
    <xf numFmtId="0" fontId="2" fillId="0" borderId="89" xfId="0" applyFont="1" applyBorder="1" applyAlignment="1">
      <alignment horizontal="centerContinuous"/>
    </xf>
    <xf numFmtId="0" fontId="2" fillId="0" borderId="34" xfId="0" applyFont="1" applyBorder="1" applyAlignment="1">
      <alignment horizontal="center" wrapText="1"/>
    </xf>
    <xf numFmtId="0" fontId="2" fillId="0" borderId="90" xfId="0" applyFont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168" fontId="37" fillId="0" borderId="0" xfId="0" applyNumberFormat="1" applyFont="1"/>
    <xf numFmtId="168" fontId="6" fillId="0" borderId="0" xfId="0" applyNumberFormat="1" applyFont="1"/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165" fontId="10" fillId="0" borderId="3" xfId="1" applyNumberFormat="1" applyFont="1" applyBorder="1" applyAlignment="1">
      <alignment horizontal="center" vertical="center" wrapText="1"/>
    </xf>
    <xf numFmtId="164" fontId="25" fillId="0" borderId="3" xfId="3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4" fillId="0" borderId="4" xfId="3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7" fillId="0" borderId="0" xfId="0" applyFont="1" applyAlignment="1">
      <alignment horizontal="center"/>
    </xf>
    <xf numFmtId="164" fontId="27" fillId="0" borderId="2" xfId="3" applyNumberFormat="1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5" fillId="0" borderId="0" xfId="3" applyNumberFormat="1" applyFont="1" applyAlignment="1">
      <alignment horizontal="center" wrapText="1"/>
    </xf>
    <xf numFmtId="10" fontId="5" fillId="0" borderId="17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10" fontId="5" fillId="0" borderId="36" xfId="0" applyNumberFormat="1" applyFont="1" applyBorder="1" applyAlignment="1">
      <alignment horizontal="center"/>
    </xf>
    <xf numFmtId="164" fontId="5" fillId="0" borderId="37" xfId="3" applyNumberFormat="1" applyFont="1" applyBorder="1" applyAlignment="1">
      <alignment horizontal="center" wrapText="1"/>
    </xf>
    <xf numFmtId="0" fontId="26" fillId="0" borderId="38" xfId="0" applyFont="1" applyBorder="1"/>
    <xf numFmtId="0" fontId="0" fillId="0" borderId="14" xfId="0" applyBorder="1"/>
    <xf numFmtId="0" fontId="28" fillId="0" borderId="14" xfId="0" applyFont="1" applyBorder="1" applyAlignment="1">
      <alignment horizontal="right"/>
    </xf>
    <xf numFmtId="9" fontId="29" fillId="0" borderId="14" xfId="2" applyFont="1" applyBorder="1"/>
    <xf numFmtId="164" fontId="29" fillId="0" borderId="39" xfId="3" applyNumberFormat="1" applyFont="1" applyBorder="1"/>
    <xf numFmtId="0" fontId="26" fillId="0" borderId="0" xfId="0" applyFont="1"/>
    <xf numFmtId="0" fontId="28" fillId="0" borderId="40" xfId="0" applyFont="1" applyBorder="1" applyAlignment="1">
      <alignment horizontal="right"/>
    </xf>
    <xf numFmtId="9" fontId="30" fillId="0" borderId="40" xfId="2" applyFont="1" applyBorder="1" applyAlignment="1">
      <alignment horizontal="center" wrapText="1"/>
    </xf>
    <xf numFmtId="9" fontId="29" fillId="0" borderId="40" xfId="2" applyFont="1" applyBorder="1"/>
    <xf numFmtId="164" fontId="29" fillId="0" borderId="0" xfId="3" applyNumberFormat="1" applyFont="1"/>
    <xf numFmtId="0" fontId="28" fillId="0" borderId="0" xfId="0" applyFont="1" applyAlignment="1">
      <alignment horizontal="right"/>
    </xf>
    <xf numFmtId="9" fontId="30" fillId="0" borderId="0" xfId="2" applyFont="1" applyAlignment="1">
      <alignment horizontal="center" wrapText="1"/>
    </xf>
    <xf numFmtId="9" fontId="29" fillId="0" borderId="0" xfId="2" applyFont="1"/>
    <xf numFmtId="0" fontId="32" fillId="0" borderId="0" xfId="0" applyFont="1"/>
    <xf numFmtId="0" fontId="29" fillId="0" borderId="41" xfId="0" applyFont="1" applyBorder="1" applyAlignment="1">
      <alignment vertical="center" wrapText="1"/>
    </xf>
    <xf numFmtId="0" fontId="33" fillId="0" borderId="41" xfId="0" applyFont="1" applyBorder="1" applyAlignment="1">
      <alignment horizontal="right"/>
    </xf>
    <xf numFmtId="164" fontId="29" fillId="0" borderId="41" xfId="3" applyNumberFormat="1" applyFont="1" applyBorder="1" applyAlignment="1">
      <alignment wrapText="1"/>
    </xf>
    <xf numFmtId="164" fontId="29" fillId="0" borderId="41" xfId="2" applyNumberFormat="1" applyFont="1" applyBorder="1" applyAlignment="1">
      <alignment wrapText="1"/>
    </xf>
    <xf numFmtId="9" fontId="30" fillId="0" borderId="41" xfId="2" applyFont="1" applyBorder="1" applyAlignment="1">
      <alignment horizontal="center" wrapText="1"/>
    </xf>
    <xf numFmtId="10" fontId="29" fillId="0" borderId="43" xfId="2" applyNumberFormat="1" applyFont="1" applyBorder="1" applyAlignment="1">
      <alignment horizontal="center" vertical="center"/>
    </xf>
    <xf numFmtId="164" fontId="29" fillId="0" borderId="44" xfId="3" applyNumberFormat="1" applyFont="1" applyBorder="1"/>
    <xf numFmtId="44" fontId="0" fillId="0" borderId="42" xfId="0" applyNumberFormat="1" applyBorder="1"/>
    <xf numFmtId="164" fontId="29" fillId="0" borderId="45" xfId="3" applyNumberFormat="1" applyFont="1" applyBorder="1"/>
    <xf numFmtId="0" fontId="29" fillId="0" borderId="0" xfId="0" applyFont="1" applyAlignment="1">
      <alignment vertical="center" wrapText="1"/>
    </xf>
    <xf numFmtId="10" fontId="30" fillId="0" borderId="0" xfId="2" applyNumberFormat="1" applyFont="1" applyAlignment="1">
      <alignment horizontal="center" vertical="center"/>
    </xf>
    <xf numFmtId="10" fontId="29" fillId="0" borderId="0" xfId="2" applyNumberFormat="1" applyFont="1"/>
    <xf numFmtId="164" fontId="29" fillId="0" borderId="47" xfId="3" applyNumberFormat="1" applyFont="1" applyBorder="1"/>
    <xf numFmtId="10" fontId="30" fillId="0" borderId="48" xfId="2" applyNumberFormat="1" applyFont="1" applyBorder="1" applyAlignment="1">
      <alignment horizontal="center" vertical="center"/>
    </xf>
    <xf numFmtId="164" fontId="29" fillId="0" borderId="49" xfId="3" applyNumberFormat="1" applyFont="1" applyBorder="1"/>
    <xf numFmtId="0" fontId="0" fillId="0" borderId="8" xfId="0" applyBorder="1"/>
    <xf numFmtId="43" fontId="29" fillId="0" borderId="2" xfId="1" applyFont="1" applyBorder="1"/>
    <xf numFmtId="43" fontId="29" fillId="0" borderId="48" xfId="1" applyFont="1" applyBorder="1"/>
    <xf numFmtId="43" fontId="29" fillId="0" borderId="0" xfId="1" applyFont="1"/>
    <xf numFmtId="165" fontId="29" fillId="0" borderId="0" xfId="1" applyNumberFormat="1" applyFont="1"/>
    <xf numFmtId="0" fontId="29" fillId="0" borderId="0" xfId="0" applyFont="1" applyAlignment="1">
      <alignment horizontal="left" vertical="center" wrapText="1"/>
    </xf>
    <xf numFmtId="0" fontId="29" fillId="0" borderId="17" xfId="0" applyFont="1" applyBorder="1" applyAlignment="1">
      <alignment vertical="center" wrapText="1"/>
    </xf>
    <xf numFmtId="165" fontId="29" fillId="0" borderId="41" xfId="1" applyNumberFormat="1" applyFont="1" applyBorder="1"/>
    <xf numFmtId="43" fontId="29" fillId="0" borderId="58" xfId="1" applyFont="1" applyBorder="1"/>
    <xf numFmtId="0" fontId="25" fillId="0" borderId="0" xfId="0" applyFont="1" applyAlignment="1">
      <alignment vertical="center"/>
    </xf>
    <xf numFmtId="165" fontId="25" fillId="0" borderId="48" xfId="0" applyNumberFormat="1" applyFont="1" applyBorder="1" applyAlignment="1">
      <alignment horizontal="right" vertical="center" wrapText="1"/>
    </xf>
    <xf numFmtId="165" fontId="25" fillId="0" borderId="87" xfId="0" applyNumberFormat="1" applyFont="1" applyBorder="1" applyAlignment="1">
      <alignment horizontal="right" vertical="center" wrapText="1"/>
    </xf>
    <xf numFmtId="165" fontId="25" fillId="0" borderId="0" xfId="0" applyNumberFormat="1" applyFont="1" applyAlignment="1">
      <alignment horizontal="right" vertical="center" wrapText="1"/>
    </xf>
    <xf numFmtId="165" fontId="25" fillId="0" borderId="24" xfId="1" applyNumberFormat="1" applyFont="1" applyBorder="1" applyAlignment="1">
      <alignment vertical="center"/>
    </xf>
    <xf numFmtId="164" fontId="29" fillId="0" borderId="44" xfId="3" applyNumberFormat="1" applyFont="1" applyBorder="1" applyAlignment="1">
      <alignment vertical="center"/>
    </xf>
    <xf numFmtId="164" fontId="25" fillId="0" borderId="52" xfId="3" applyNumberFormat="1" applyFont="1" applyBorder="1" applyAlignment="1">
      <alignment horizontal="right" vertical="center" wrapText="1"/>
    </xf>
    <xf numFmtId="165" fontId="25" fillId="0" borderId="52" xfId="0" applyNumberFormat="1" applyFont="1" applyBorder="1" applyAlignment="1">
      <alignment horizontal="right" vertical="center" wrapText="1"/>
    </xf>
    <xf numFmtId="164" fontId="5" fillId="0" borderId="49" xfId="3" applyNumberFormat="1" applyFont="1" applyBorder="1" applyAlignment="1">
      <alignment vertical="center"/>
    </xf>
    <xf numFmtId="167" fontId="34" fillId="0" borderId="6" xfId="2" applyNumberFormat="1" applyFont="1" applyBorder="1" applyAlignment="1">
      <alignment vertical="center"/>
    </xf>
    <xf numFmtId="165" fontId="25" fillId="0" borderId="88" xfId="0" applyNumberFormat="1" applyFont="1" applyBorder="1" applyAlignment="1">
      <alignment horizontal="right" vertical="center" wrapText="1"/>
    </xf>
    <xf numFmtId="0" fontId="25" fillId="0" borderId="4" xfId="0" applyFont="1" applyBorder="1"/>
    <xf numFmtId="0" fontId="25" fillId="0" borderId="0" xfId="0" applyFont="1" applyAlignment="1">
      <alignment horizontal="right" vertical="center" wrapText="1"/>
    </xf>
    <xf numFmtId="0" fontId="25" fillId="0" borderId="53" xfId="0" applyFont="1" applyBorder="1" applyAlignment="1">
      <alignment horizontal="right" vertical="center" wrapText="1"/>
    </xf>
    <xf numFmtId="9" fontId="30" fillId="0" borderId="4" xfId="2" applyFont="1" applyBorder="1" applyAlignment="1">
      <alignment horizontal="center" vertical="center"/>
    </xf>
    <xf numFmtId="167" fontId="25" fillId="0" borderId="53" xfId="2" applyNumberFormat="1" applyFont="1" applyBorder="1" applyAlignment="1">
      <alignment vertical="center"/>
    </xf>
    <xf numFmtId="164" fontId="29" fillId="0" borderId="4" xfId="3" applyNumberFormat="1" applyFont="1" applyBorder="1"/>
    <xf numFmtId="164" fontId="29" fillId="0" borderId="53" xfId="3" applyNumberFormat="1" applyFont="1" applyBorder="1"/>
    <xf numFmtId="0" fontId="30" fillId="0" borderId="53" xfId="0" applyFont="1" applyBorder="1" applyAlignment="1">
      <alignment horizontal="center" vertical="center"/>
    </xf>
    <xf numFmtId="167" fontId="0" fillId="0" borderId="4" xfId="2" applyNumberFormat="1" applyFont="1" applyBorder="1"/>
    <xf numFmtId="0" fontId="29" fillId="0" borderId="17" xfId="0" applyFont="1" applyBorder="1" applyAlignment="1">
      <alignment horizontal="left" vertical="center" wrapText="1"/>
    </xf>
    <xf numFmtId="165" fontId="29" fillId="0" borderId="48" xfId="1" applyNumberFormat="1" applyFont="1" applyBorder="1"/>
    <xf numFmtId="165" fontId="29" fillId="0" borderId="0" xfId="1" applyNumberFormat="1" applyFont="1" applyAlignment="1">
      <alignment vertical="center"/>
    </xf>
    <xf numFmtId="164" fontId="29" fillId="0" borderId="2" xfId="3" applyNumberFormat="1" applyFont="1" applyBorder="1"/>
    <xf numFmtId="0" fontId="0" fillId="0" borderId="17" xfId="0" applyBorder="1"/>
    <xf numFmtId="0" fontId="29" fillId="0" borderId="0" xfId="0" applyFont="1" applyAlignment="1">
      <alignment horizontal="left" vertical="center"/>
    </xf>
    <xf numFmtId="165" fontId="29" fillId="0" borderId="7" xfId="1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165" fontId="25" fillId="0" borderId="24" xfId="0" applyNumberFormat="1" applyFont="1" applyBorder="1" applyAlignment="1">
      <alignment horizontal="right" vertical="center" wrapText="1"/>
    </xf>
    <xf numFmtId="165" fontId="25" fillId="0" borderId="54" xfId="2" applyNumberFormat="1" applyFont="1" applyBorder="1" applyAlignment="1">
      <alignment vertical="center"/>
    </xf>
    <xf numFmtId="164" fontId="5" fillId="0" borderId="55" xfId="3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167" fontId="34" fillId="0" borderId="3" xfId="2" applyNumberFormat="1" applyFont="1" applyBorder="1" applyAlignment="1">
      <alignment vertical="center"/>
    </xf>
    <xf numFmtId="164" fontId="5" fillId="0" borderId="56" xfId="3" applyNumberFormat="1" applyFont="1" applyBorder="1" applyAlignment="1">
      <alignment vertical="center"/>
    </xf>
    <xf numFmtId="0" fontId="25" fillId="0" borderId="0" xfId="0" applyFont="1"/>
    <xf numFmtId="0" fontId="35" fillId="0" borderId="53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164" fontId="29" fillId="0" borderId="57" xfId="3" applyNumberFormat="1" applyFont="1" applyBorder="1"/>
    <xf numFmtId="0" fontId="35" fillId="0" borderId="58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29" fillId="0" borderId="17" xfId="0" applyFont="1" applyBorder="1" applyAlignment="1">
      <alignment vertical="top" wrapText="1"/>
    </xf>
    <xf numFmtId="165" fontId="29" fillId="0" borderId="48" xfId="1" applyNumberFormat="1" applyFont="1" applyBorder="1" applyAlignment="1">
      <alignment vertical="top"/>
    </xf>
    <xf numFmtId="165" fontId="29" fillId="0" borderId="58" xfId="1" applyNumberFormat="1" applyFont="1" applyBorder="1" applyAlignment="1">
      <alignment vertical="top"/>
    </xf>
    <xf numFmtId="165" fontId="33" fillId="0" borderId="60" xfId="1" applyNumberFormat="1" applyFont="1" applyBorder="1" applyAlignment="1">
      <alignment vertical="top" wrapText="1"/>
    </xf>
    <xf numFmtId="165" fontId="33" fillId="0" borderId="20" xfId="1" applyNumberFormat="1" applyFont="1" applyBorder="1" applyAlignment="1">
      <alignment vertical="top" wrapText="1"/>
    </xf>
    <xf numFmtId="165" fontId="29" fillId="0" borderId="20" xfId="1" applyNumberFormat="1" applyFont="1" applyBorder="1"/>
    <xf numFmtId="164" fontId="29" fillId="0" borderId="21" xfId="3" applyNumberFormat="1" applyFont="1" applyBorder="1"/>
    <xf numFmtId="165" fontId="33" fillId="0" borderId="61" xfId="1" applyNumberFormat="1" applyFont="1" applyBorder="1" applyAlignment="1">
      <alignment horizontal="right" vertical="top" wrapText="1"/>
    </xf>
    <xf numFmtId="164" fontId="29" fillId="0" borderId="62" xfId="3" applyNumberFormat="1" applyFont="1" applyBorder="1"/>
    <xf numFmtId="167" fontId="34" fillId="0" borderId="20" xfId="2" applyNumberFormat="1" applyFont="1" applyBorder="1"/>
    <xf numFmtId="165" fontId="33" fillId="0" borderId="60" xfId="1" applyNumberFormat="1" applyFont="1" applyBorder="1" applyAlignment="1">
      <alignment horizontal="right" vertical="top" wrapText="1"/>
    </xf>
    <xf numFmtId="0" fontId="29" fillId="0" borderId="29" xfId="0" applyFont="1" applyBorder="1" applyAlignment="1">
      <alignment vertical="center" wrapText="1"/>
    </xf>
    <xf numFmtId="0" fontId="29" fillId="0" borderId="63" xfId="0" applyFont="1" applyBorder="1" applyAlignment="1">
      <alignment vertical="center" wrapText="1"/>
    </xf>
    <xf numFmtId="165" fontId="29" fillId="0" borderId="64" xfId="1" applyNumberFormat="1" applyFont="1" applyBorder="1" applyAlignment="1">
      <alignment vertical="top"/>
    </xf>
    <xf numFmtId="165" fontId="29" fillId="0" borderId="29" xfId="1" applyNumberFormat="1" applyFont="1" applyBorder="1"/>
    <xf numFmtId="165" fontId="29" fillId="0" borderId="65" xfId="1" applyNumberFormat="1" applyFont="1" applyBorder="1" applyAlignment="1">
      <alignment vertical="top"/>
    </xf>
    <xf numFmtId="165" fontId="33" fillId="0" borderId="0" xfId="1" applyNumberFormat="1" applyFont="1" applyAlignment="1">
      <alignment vertical="top" wrapText="1"/>
    </xf>
    <xf numFmtId="0" fontId="29" fillId="0" borderId="29" xfId="0" applyFont="1" applyBorder="1" applyAlignment="1">
      <alignment vertical="top" wrapText="1"/>
    </xf>
    <xf numFmtId="0" fontId="29" fillId="0" borderId="68" xfId="0" applyFont="1" applyBorder="1" applyAlignment="1">
      <alignment vertical="top" wrapText="1"/>
    </xf>
    <xf numFmtId="164" fontId="29" fillId="0" borderId="69" xfId="3" applyNumberFormat="1" applyFont="1" applyBorder="1"/>
    <xf numFmtId="0" fontId="29" fillId="0" borderId="66" xfId="0" applyFont="1" applyBorder="1" applyAlignment="1">
      <alignment vertical="top" wrapText="1"/>
    </xf>
    <xf numFmtId="165" fontId="29" fillId="0" borderId="20" xfId="2" applyNumberFormat="1" applyFont="1" applyBorder="1"/>
    <xf numFmtId="0" fontId="32" fillId="0" borderId="29" xfId="0" applyFont="1" applyBorder="1" applyAlignment="1">
      <alignment vertical="center"/>
    </xf>
    <xf numFmtId="165" fontId="25" fillId="0" borderId="64" xfId="1" applyNumberFormat="1" applyFont="1" applyBorder="1" applyAlignment="1">
      <alignment horizontal="right" vertical="center" wrapText="1"/>
    </xf>
    <xf numFmtId="165" fontId="25" fillId="0" borderId="29" xfId="1" applyNumberFormat="1" applyFont="1" applyBorder="1" applyAlignment="1">
      <alignment horizontal="right" vertical="center" wrapText="1"/>
    </xf>
    <xf numFmtId="165" fontId="25" fillId="0" borderId="29" xfId="2" applyNumberFormat="1" applyFont="1" applyBorder="1" applyAlignment="1">
      <alignment vertical="center"/>
    </xf>
    <xf numFmtId="164" fontId="5" fillId="0" borderId="70" xfId="3" applyNumberFormat="1" applyFont="1" applyBorder="1" applyAlignment="1">
      <alignment vertical="center"/>
    </xf>
    <xf numFmtId="165" fontId="25" fillId="0" borderId="65" xfId="1" applyNumberFormat="1" applyFont="1" applyBorder="1" applyAlignment="1">
      <alignment horizontal="right" vertical="center" wrapText="1"/>
    </xf>
    <xf numFmtId="164" fontId="5" fillId="0" borderId="71" xfId="3" applyNumberFormat="1" applyFont="1" applyBorder="1" applyAlignment="1">
      <alignment vertical="center"/>
    </xf>
    <xf numFmtId="164" fontId="5" fillId="0" borderId="72" xfId="3" applyNumberFormat="1" applyFont="1" applyBorder="1" applyAlignment="1">
      <alignment vertical="center"/>
    </xf>
    <xf numFmtId="166" fontId="0" fillId="0" borderId="0" xfId="3" applyNumberFormat="1" applyFont="1" applyAlignment="1">
      <alignment horizontal="right"/>
    </xf>
    <xf numFmtId="164" fontId="5" fillId="0" borderId="2" xfId="3" applyNumberFormat="1" applyFont="1" applyBorder="1" applyAlignment="1">
      <alignment vertical="center"/>
    </xf>
    <xf numFmtId="164" fontId="5" fillId="0" borderId="73" xfId="3" applyNumberFormat="1" applyFont="1" applyBorder="1" applyAlignment="1">
      <alignment vertical="center"/>
    </xf>
    <xf numFmtId="167" fontId="34" fillId="0" borderId="4" xfId="2" applyNumberFormat="1" applyFont="1" applyBorder="1" applyAlignment="1">
      <alignment vertical="center"/>
    </xf>
    <xf numFmtId="164" fontId="0" fillId="0" borderId="0" xfId="3" applyNumberFormat="1" applyFont="1" applyAlignment="1">
      <alignment horizontal="right"/>
    </xf>
    <xf numFmtId="0" fontId="22" fillId="0" borderId="0" xfId="0" applyFont="1" applyAlignment="1">
      <alignment textRotation="90"/>
    </xf>
    <xf numFmtId="164" fontId="24" fillId="0" borderId="0" xfId="3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/>
    </xf>
    <xf numFmtId="164" fontId="5" fillId="0" borderId="3" xfId="3" applyNumberFormat="1" applyFont="1" applyBorder="1" applyAlignment="1">
      <alignment horizontal="center" wrapText="1"/>
    </xf>
    <xf numFmtId="0" fontId="22" fillId="0" borderId="3" xfId="0" applyFont="1" applyBorder="1" applyAlignment="1">
      <alignment textRotation="90"/>
    </xf>
    <xf numFmtId="44" fontId="0" fillId="0" borderId="41" xfId="0" applyNumberFormat="1" applyBorder="1"/>
    <xf numFmtId="165" fontId="25" fillId="0" borderId="101" xfId="0" applyNumberFormat="1" applyFont="1" applyBorder="1" applyAlignment="1">
      <alignment horizontal="right" vertical="center" wrapText="1"/>
    </xf>
    <xf numFmtId="0" fontId="0" fillId="39" borderId="102" xfId="0" applyFill="1" applyBorder="1" applyAlignment="1">
      <alignment horizontal="left" vertical="center" wrapText="1"/>
    </xf>
    <xf numFmtId="0" fontId="5" fillId="0" borderId="102" xfId="0" applyFont="1" applyBorder="1" applyAlignment="1">
      <alignment horizontal="right"/>
    </xf>
    <xf numFmtId="0" fontId="5" fillId="39" borderId="0" xfId="0" applyFont="1" applyFill="1" applyAlignment="1">
      <alignment horizontal="center" vertical="center" wrapText="1"/>
    </xf>
    <xf numFmtId="0" fontId="25" fillId="39" borderId="103" xfId="36" applyFont="1" applyFill="1" applyBorder="1" applyAlignment="1">
      <alignment horizontal="center" vertical="center" wrapText="1"/>
    </xf>
    <xf numFmtId="3" fontId="0" fillId="0" borderId="0" xfId="0" applyNumberFormat="1"/>
    <xf numFmtId="169" fontId="0" fillId="0" borderId="0" xfId="1" applyNumberFormat="1" applyFont="1"/>
    <xf numFmtId="3" fontId="5" fillId="0" borderId="0" xfId="0" applyNumberFormat="1" applyFont="1"/>
    <xf numFmtId="170" fontId="5" fillId="0" borderId="0" xfId="0" applyNumberFormat="1" applyFont="1"/>
    <xf numFmtId="164" fontId="5" fillId="0" borderId="2" xfId="3" applyNumberFormat="1" applyFont="1" applyBorder="1" applyAlignment="1">
      <alignment horizontal="center" wrapText="1"/>
    </xf>
    <xf numFmtId="0" fontId="0" fillId="0" borderId="102" xfId="0" applyBorder="1"/>
    <xf numFmtId="10" fontId="30" fillId="0" borderId="8" xfId="2" applyNumberFormat="1" applyFont="1" applyBorder="1" applyAlignment="1">
      <alignment horizontal="center" vertical="center"/>
    </xf>
    <xf numFmtId="164" fontId="69" fillId="0" borderId="2" xfId="3" applyNumberFormat="1" applyFont="1" applyBorder="1" applyAlignment="1">
      <alignment horizontal="center"/>
    </xf>
    <xf numFmtId="164" fontId="69" fillId="0" borderId="0" xfId="3" applyNumberFormat="1" applyFont="1" applyAlignment="1">
      <alignment horizontal="center"/>
    </xf>
    <xf numFmtId="165" fontId="16" fillId="0" borderId="2" xfId="1" applyNumberFormat="1" applyFont="1" applyBorder="1" applyAlignment="1">
      <alignment horizontal="right" vertical="center" wrapText="1"/>
    </xf>
    <xf numFmtId="165" fontId="16" fillId="0" borderId="2" xfId="1" applyNumberFormat="1" applyFont="1" applyBorder="1" applyAlignment="1">
      <alignment horizontal="right" vertical="top" wrapText="1"/>
    </xf>
    <xf numFmtId="9" fontId="30" fillId="0" borderId="41" xfId="2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0" fillId="0" borderId="41" xfId="0" applyBorder="1"/>
    <xf numFmtId="0" fontId="0" fillId="7" borderId="0" xfId="0" applyFill="1"/>
    <xf numFmtId="0" fontId="0" fillId="7" borderId="0" xfId="0" applyFill="1" applyAlignment="1">
      <alignment horizontal="center" vertical="center"/>
    </xf>
    <xf numFmtId="43" fontId="0" fillId="7" borderId="0" xfId="0" applyNumberFormat="1" applyFill="1"/>
    <xf numFmtId="10" fontId="5" fillId="0" borderId="2" xfId="0" applyNumberFormat="1" applyFont="1" applyBorder="1" applyAlignment="1">
      <alignment horizontal="center" wrapText="1"/>
    </xf>
    <xf numFmtId="0" fontId="0" fillId="0" borderId="4" xfId="0" applyBorder="1"/>
    <xf numFmtId="0" fontId="27" fillId="0" borderId="4" xfId="0" applyFont="1" applyBorder="1"/>
    <xf numFmtId="164" fontId="0" fillId="0" borderId="4" xfId="3" applyNumberFormat="1" applyFont="1" applyBorder="1"/>
    <xf numFmtId="0" fontId="8" fillId="0" borderId="0" xfId="0" applyFont="1" applyAlignment="1">
      <alignment horizontal="center"/>
    </xf>
    <xf numFmtId="164" fontId="5" fillId="0" borderId="108" xfId="3" applyNumberFormat="1" applyFont="1" applyBorder="1" applyAlignment="1">
      <alignment vertical="center"/>
    </xf>
    <xf numFmtId="44" fontId="5" fillId="0" borderId="41" xfId="3" applyFont="1" applyBorder="1"/>
    <xf numFmtId="167" fontId="29" fillId="0" borderId="0" xfId="2" applyNumberFormat="1" applyFont="1"/>
    <xf numFmtId="0" fontId="29" fillId="7" borderId="0" xfId="0" applyFont="1" applyFill="1"/>
    <xf numFmtId="44" fontId="29" fillId="0" borderId="0" xfId="3" applyFont="1"/>
    <xf numFmtId="43" fontId="29" fillId="7" borderId="0" xfId="0" applyNumberFormat="1" applyFont="1" applyFill="1"/>
    <xf numFmtId="165" fontId="25" fillId="0" borderId="50" xfId="1" applyNumberFormat="1" applyFont="1" applyBorder="1" applyAlignment="1">
      <alignment vertical="top" wrapText="1"/>
    </xf>
    <xf numFmtId="164" fontId="5" fillId="0" borderId="105" xfId="3" applyNumberFormat="1" applyFont="1" applyBorder="1"/>
    <xf numFmtId="164" fontId="5" fillId="0" borderId="42" xfId="3" applyNumberFormat="1" applyFont="1" applyBorder="1"/>
    <xf numFmtId="165" fontId="25" fillId="0" borderId="106" xfId="1" applyNumberFormat="1" applyFont="1" applyBorder="1" applyAlignment="1">
      <alignment horizontal="right" vertical="top" wrapText="1"/>
    </xf>
    <xf numFmtId="164" fontId="5" fillId="0" borderId="45" xfId="3" applyNumberFormat="1" applyFont="1" applyBorder="1"/>
    <xf numFmtId="167" fontId="5" fillId="0" borderId="41" xfId="2" applyNumberFormat="1" applyFont="1" applyBorder="1"/>
    <xf numFmtId="165" fontId="25" fillId="0" borderId="41" xfId="1" applyNumberFormat="1" applyFont="1" applyBorder="1" applyAlignment="1">
      <alignment vertical="top" wrapText="1"/>
    </xf>
    <xf numFmtId="165" fontId="5" fillId="0" borderId="41" xfId="1" applyNumberFormat="1" applyFont="1" applyBorder="1"/>
    <xf numFmtId="165" fontId="25" fillId="0" borderId="41" xfId="1" applyNumberFormat="1" applyFont="1" applyBorder="1" applyAlignment="1">
      <alignment horizontal="right" vertical="top" wrapText="1"/>
    </xf>
    <xf numFmtId="164" fontId="1" fillId="0" borderId="44" xfId="3" applyNumberFormat="1" applyBorder="1" applyAlignment="1">
      <alignment vertical="center"/>
    </xf>
    <xf numFmtId="167" fontId="5" fillId="0" borderId="3" xfId="2" applyNumberFormat="1" applyFont="1" applyBorder="1" applyAlignment="1">
      <alignment vertical="center"/>
    </xf>
    <xf numFmtId="0" fontId="1" fillId="7" borderId="0" xfId="0" applyFont="1" applyFill="1" applyAlignment="1">
      <alignment vertical="center"/>
    </xf>
    <xf numFmtId="43" fontId="5" fillId="7" borderId="0" xfId="0" applyNumberFormat="1" applyFont="1" applyFill="1"/>
    <xf numFmtId="0" fontId="35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164" fontId="29" fillId="0" borderId="8" xfId="3" applyNumberFormat="1" applyFont="1" applyBorder="1"/>
    <xf numFmtId="164" fontId="29" fillId="0" borderId="41" xfId="3" applyNumberFormat="1" applyFont="1" applyBorder="1"/>
    <xf numFmtId="164" fontId="0" fillId="0" borderId="41" xfId="3" applyNumberFormat="1" applyFont="1" applyBorder="1"/>
    <xf numFmtId="164" fontId="5" fillId="0" borderId="0" xfId="3" applyNumberFormat="1" applyFont="1"/>
    <xf numFmtId="0" fontId="0" fillId="0" borderId="17" xfId="0" applyBorder="1" applyAlignment="1">
      <alignment horizontal="center" vertical="center"/>
    </xf>
    <xf numFmtId="43" fontId="29" fillId="0" borderId="0" xfId="1" applyFont="1" applyProtection="1">
      <protection locked="0"/>
    </xf>
    <xf numFmtId="43" fontId="29" fillId="0" borderId="100" xfId="1" applyFont="1" applyBorder="1" applyProtection="1">
      <protection locked="0"/>
    </xf>
    <xf numFmtId="165" fontId="29" fillId="0" borderId="0" xfId="1" applyNumberFormat="1" applyFont="1" applyProtection="1">
      <protection locked="0"/>
    </xf>
    <xf numFmtId="165" fontId="29" fillId="0" borderId="100" xfId="1" applyNumberFormat="1" applyFont="1" applyBorder="1" applyAlignment="1" applyProtection="1">
      <alignment vertical="top"/>
      <protection locked="0"/>
    </xf>
    <xf numFmtId="165" fontId="29" fillId="0" borderId="0" xfId="1" applyNumberFormat="1" applyFont="1" applyAlignment="1" applyProtection="1">
      <alignment vertical="top"/>
      <protection locked="0"/>
    </xf>
    <xf numFmtId="0" fontId="0" fillId="40" borderId="0" xfId="0" applyFill="1"/>
    <xf numFmtId="0" fontId="0" fillId="40" borderId="0" xfId="0" applyFill="1" applyAlignment="1">
      <alignment horizontal="center" vertical="center"/>
    </xf>
    <xf numFmtId="0" fontId="29" fillId="40" borderId="0" xfId="0" applyFont="1" applyFill="1"/>
    <xf numFmtId="0" fontId="1" fillId="40" borderId="0" xfId="0" applyFont="1" applyFill="1" applyAlignment="1">
      <alignment vertical="center"/>
    </xf>
    <xf numFmtId="0" fontId="5" fillId="40" borderId="0" xfId="0" applyFont="1" applyFill="1"/>
    <xf numFmtId="0" fontId="72" fillId="40" borderId="0" xfId="0" applyFont="1" applyFill="1"/>
    <xf numFmtId="164" fontId="0" fillId="40" borderId="0" xfId="3" applyNumberFormat="1" applyFont="1" applyFill="1"/>
    <xf numFmtId="0" fontId="0" fillId="41" borderId="0" xfId="0" applyFill="1"/>
    <xf numFmtId="0" fontId="22" fillId="41" borderId="0" xfId="0" applyFont="1" applyFill="1" applyAlignment="1">
      <alignment horizontal="center" textRotation="90"/>
    </xf>
    <xf numFmtId="167" fontId="29" fillId="41" borderId="0" xfId="2" applyNumberFormat="1" applyFont="1" applyFill="1"/>
    <xf numFmtId="167" fontId="5" fillId="41" borderId="0" xfId="2" applyNumberFormat="1" applyFont="1" applyFill="1" applyAlignment="1">
      <alignment vertical="center"/>
    </xf>
    <xf numFmtId="167" fontId="0" fillId="41" borderId="0" xfId="2" applyNumberFormat="1" applyFont="1" applyFill="1"/>
    <xf numFmtId="167" fontId="5" fillId="41" borderId="0" xfId="2" applyNumberFormat="1" applyFont="1" applyFill="1"/>
    <xf numFmtId="167" fontId="34" fillId="41" borderId="0" xfId="2" applyNumberFormat="1" applyFont="1" applyFill="1" applyAlignment="1">
      <alignment vertical="center"/>
    </xf>
    <xf numFmtId="164" fontId="0" fillId="41" borderId="0" xfId="3" applyNumberFormat="1" applyFont="1" applyFill="1"/>
    <xf numFmtId="0" fontId="0" fillId="42" borderId="0" xfId="0" applyFill="1"/>
    <xf numFmtId="0" fontId="0" fillId="42" borderId="0" xfId="0" applyFill="1" applyAlignment="1">
      <alignment horizontal="center" vertical="center"/>
    </xf>
    <xf numFmtId="0" fontId="29" fillId="42" borderId="0" xfId="0" applyFont="1" applyFill="1"/>
    <xf numFmtId="0" fontId="1" fillId="42" borderId="0" xfId="0" applyFont="1" applyFill="1" applyAlignment="1">
      <alignment vertical="center"/>
    </xf>
    <xf numFmtId="0" fontId="5" fillId="42" borderId="0" xfId="0" applyFont="1" applyFill="1"/>
    <xf numFmtId="165" fontId="25" fillId="0" borderId="3" xfId="0" applyNumberFormat="1" applyFont="1" applyBorder="1" applyAlignment="1">
      <alignment horizontal="right" vertical="center" wrapText="1"/>
    </xf>
    <xf numFmtId="164" fontId="5" fillId="0" borderId="109" xfId="3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29" fillId="2" borderId="2" xfId="1" applyFont="1" applyFill="1" applyBorder="1"/>
    <xf numFmtId="164" fontId="29" fillId="2" borderId="44" xfId="3" applyNumberFormat="1" applyFont="1" applyFill="1" applyBorder="1"/>
    <xf numFmtId="164" fontId="29" fillId="2" borderId="0" xfId="3" applyNumberFormat="1" applyFont="1" applyFill="1"/>
    <xf numFmtId="43" fontId="29" fillId="2" borderId="0" xfId="1" applyFont="1" applyFill="1" applyProtection="1">
      <protection locked="0"/>
    </xf>
    <xf numFmtId="164" fontId="29" fillId="2" borderId="49" xfId="3" applyNumberFormat="1" applyFont="1" applyFill="1" applyBorder="1"/>
    <xf numFmtId="167" fontId="29" fillId="2" borderId="0" xfId="2" applyNumberFormat="1" applyFont="1" applyFill="1"/>
    <xf numFmtId="43" fontId="29" fillId="2" borderId="0" xfId="1" applyFont="1" applyFill="1"/>
    <xf numFmtId="0" fontId="32" fillId="0" borderId="0" xfId="0" applyFont="1" applyAlignment="1">
      <alignment vertical="center"/>
    </xf>
    <xf numFmtId="165" fontId="25" fillId="0" borderId="108" xfId="1" applyNumberFormat="1" applyFont="1" applyBorder="1" applyAlignment="1">
      <alignment horizontal="right" vertical="center" wrapText="1"/>
    </xf>
    <xf numFmtId="164" fontId="29" fillId="0" borderId="108" xfId="3" applyNumberFormat="1" applyFont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9" fillId="0" borderId="0" xfId="0" applyFont="1"/>
    <xf numFmtId="164" fontId="5" fillId="0" borderId="0" xfId="0" applyNumberFormat="1" applyFont="1"/>
    <xf numFmtId="10" fontId="22" fillId="0" borderId="17" xfId="2" applyNumberFormat="1" applyFont="1" applyBorder="1"/>
    <xf numFmtId="164" fontId="22" fillId="0" borderId="0" xfId="3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19" fillId="0" borderId="0" xfId="0" applyFont="1"/>
    <xf numFmtId="0" fontId="12" fillId="0" borderId="0" xfId="0" applyFont="1"/>
    <xf numFmtId="10" fontId="22" fillId="0" borderId="35" xfId="2" applyNumberFormat="1" applyFont="1" applyBorder="1"/>
    <xf numFmtId="10" fontId="21" fillId="0" borderId="17" xfId="2" applyNumberFormat="1" applyFont="1" applyBorder="1" applyAlignment="1">
      <alignment vertical="center"/>
    </xf>
    <xf numFmtId="16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14" fillId="0" borderId="0" xfId="0" applyFont="1"/>
    <xf numFmtId="0" fontId="19" fillId="0" borderId="4" xfId="0" applyFont="1" applyBorder="1"/>
    <xf numFmtId="0" fontId="14" fillId="0" borderId="32" xfId="0" applyFont="1" applyBorder="1"/>
    <xf numFmtId="0" fontId="21" fillId="0" borderId="23" xfId="0" applyFont="1" applyBorder="1" applyAlignment="1">
      <alignment horizontal="right" vertical="center" wrapText="1"/>
    </xf>
    <xf numFmtId="165" fontId="21" fillId="0" borderId="31" xfId="0" applyNumberFormat="1" applyFont="1" applyBorder="1" applyAlignment="1">
      <alignment horizontal="right" vertical="center" wrapText="1"/>
    </xf>
    <xf numFmtId="0" fontId="19" fillId="0" borderId="30" xfId="0" applyFont="1" applyBorder="1"/>
    <xf numFmtId="164" fontId="17" fillId="4" borderId="0" xfId="0" applyNumberFormat="1" applyFont="1" applyFill="1" applyAlignment="1">
      <alignment horizontal="right"/>
    </xf>
    <xf numFmtId="0" fontId="17" fillId="0" borderId="17" xfId="0" applyFont="1" applyBorder="1"/>
    <xf numFmtId="0" fontId="17" fillId="0" borderId="0" xfId="0" applyFont="1" applyAlignment="1">
      <alignment horizontal="right" wrapText="1"/>
    </xf>
    <xf numFmtId="165" fontId="17" fillId="0" borderId="2" xfId="0" applyNumberFormat="1" applyFont="1" applyBorder="1" applyAlignment="1">
      <alignment horizontal="right" wrapText="1"/>
    </xf>
    <xf numFmtId="167" fontId="17" fillId="0" borderId="17" xfId="2" applyNumberFormat="1" applyFont="1" applyBorder="1"/>
    <xf numFmtId="164" fontId="17" fillId="3" borderId="0" xfId="3" applyNumberFormat="1" applyFont="1" applyFill="1" applyAlignment="1">
      <alignment horizontal="right"/>
    </xf>
    <xf numFmtId="164" fontId="17" fillId="2" borderId="0" xfId="0" applyNumberFormat="1" applyFont="1" applyFill="1" applyAlignment="1">
      <alignment horizontal="right"/>
    </xf>
    <xf numFmtId="164" fontId="16" fillId="0" borderId="0" xfId="3" applyNumberFormat="1" applyFont="1" applyAlignment="1">
      <alignment horizontal="right" vertical="top" wrapText="1"/>
    </xf>
    <xf numFmtId="0" fontId="17" fillId="0" borderId="0" xfId="0" applyFont="1" applyAlignment="1">
      <alignment vertical="top" wrapText="1"/>
    </xf>
    <xf numFmtId="164" fontId="16" fillId="0" borderId="0" xfId="3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3" borderId="0" xfId="0" applyFont="1" applyFill="1" applyAlignment="1">
      <alignment horizontal="right"/>
    </xf>
    <xf numFmtId="0" fontId="16" fillId="0" borderId="28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/>
    <xf numFmtId="0" fontId="12" fillId="0" borderId="0" xfId="0" applyFont="1" applyAlignment="1">
      <alignment horizontal="center" vertical="center" textRotation="90" wrapText="1"/>
    </xf>
    <xf numFmtId="0" fontId="14" fillId="0" borderId="26" xfId="0" applyFont="1" applyBorder="1"/>
    <xf numFmtId="0" fontId="21" fillId="0" borderId="24" xfId="0" applyFont="1" applyBorder="1" applyAlignment="1">
      <alignment horizontal="right" vertical="center" wrapText="1"/>
    </xf>
    <xf numFmtId="165" fontId="21" fillId="0" borderId="25" xfId="0" applyNumberFormat="1" applyFont="1" applyBorder="1" applyAlignment="1">
      <alignment horizontal="right" vertical="center" wrapText="1"/>
    </xf>
    <xf numFmtId="0" fontId="21" fillId="0" borderId="3" xfId="0" applyFont="1" applyBorder="1"/>
    <xf numFmtId="0" fontId="14" fillId="0" borderId="17" xfId="0" applyFont="1" applyBorder="1"/>
    <xf numFmtId="0" fontId="17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164" fontId="21" fillId="3" borderId="0" xfId="3" applyNumberFormat="1" applyFont="1" applyFill="1" applyAlignment="1">
      <alignment horizontal="right" vertical="center" wrapText="1"/>
    </xf>
    <xf numFmtId="0" fontId="16" fillId="0" borderId="28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textRotation="90"/>
    </xf>
    <xf numFmtId="43" fontId="21" fillId="0" borderId="25" xfId="0" applyNumberFormat="1" applyFont="1" applyBorder="1" applyAlignment="1">
      <alignment horizontal="right" vertical="center" wrapText="1"/>
    </xf>
    <xf numFmtId="0" fontId="21" fillId="0" borderId="23" xfId="0" applyFont="1" applyBorder="1"/>
    <xf numFmtId="43" fontId="16" fillId="2" borderId="21" xfId="1" applyFont="1" applyFill="1" applyBorder="1" applyAlignment="1">
      <alignment horizontal="right" vertical="center" wrapText="1"/>
    </xf>
    <xf numFmtId="43" fontId="16" fillId="0" borderId="2" xfId="1" applyFont="1" applyBorder="1" applyAlignment="1">
      <alignment horizontal="right" vertical="center" wrapText="1"/>
    </xf>
    <xf numFmtId="0" fontId="17" fillId="0" borderId="17" xfId="0" applyFont="1" applyBorder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10" fontId="17" fillId="0" borderId="17" xfId="2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8" fillId="0" borderId="16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4" fillId="0" borderId="14" xfId="0" applyFont="1" applyBorder="1"/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9" fillId="0" borderId="0" xfId="0" applyFont="1"/>
    <xf numFmtId="164" fontId="0" fillId="0" borderId="0" xfId="0" applyNumberFormat="1"/>
    <xf numFmtId="0" fontId="5" fillId="0" borderId="0" xfId="0" applyFont="1" applyAlignment="1">
      <alignment horizontal="right"/>
    </xf>
    <xf numFmtId="166" fontId="5" fillId="0" borderId="0" xfId="3" applyNumberFormat="1" applyFont="1" applyAlignment="1">
      <alignment horizontal="right"/>
    </xf>
    <xf numFmtId="0" fontId="0" fillId="0" borderId="104" xfId="0" applyBorder="1"/>
    <xf numFmtId="10" fontId="5" fillId="0" borderId="44" xfId="0" applyNumberFormat="1" applyFont="1" applyBorder="1" applyAlignment="1">
      <alignment horizontal="center" wrapText="1"/>
    </xf>
    <xf numFmtId="165" fontId="25" fillId="0" borderId="112" xfId="1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 textRotation="90"/>
    </xf>
    <xf numFmtId="0" fontId="32" fillId="0" borderId="17" xfId="0" applyFont="1" applyBorder="1" applyAlignment="1">
      <alignment vertical="center" textRotation="90"/>
    </xf>
    <xf numFmtId="44" fontId="5" fillId="0" borderId="0" xfId="3" applyFont="1"/>
    <xf numFmtId="165" fontId="29" fillId="0" borderId="112" xfId="1" applyNumberFormat="1" applyFont="1" applyBorder="1"/>
    <xf numFmtId="44" fontId="29" fillId="0" borderId="41" xfId="3" applyFont="1" applyBorder="1"/>
    <xf numFmtId="0" fontId="0" fillId="0" borderId="43" xfId="0" applyBorder="1"/>
    <xf numFmtId="44" fontId="29" fillId="0" borderId="7" xfId="3" applyFont="1" applyBorder="1" applyAlignment="1" applyProtection="1">
      <alignment vertical="top"/>
      <protection locked="0"/>
    </xf>
    <xf numFmtId="44" fontId="25" fillId="0" borderId="43" xfId="3" applyFont="1" applyBorder="1" applyAlignment="1">
      <alignment horizontal="right" vertical="top" wrapText="1"/>
    </xf>
    <xf numFmtId="167" fontId="34" fillId="41" borderId="3" xfId="2" applyNumberFormat="1" applyFont="1" applyFill="1" applyBorder="1"/>
    <xf numFmtId="0" fontId="34" fillId="42" borderId="3" xfId="0" applyFont="1" applyFill="1" applyBorder="1"/>
    <xf numFmtId="9" fontId="34" fillId="0" borderId="3" xfId="2" applyFont="1" applyBorder="1"/>
    <xf numFmtId="43" fontId="34" fillId="7" borderId="3" xfId="0" applyNumberFormat="1" applyFont="1" applyFill="1" applyBorder="1"/>
    <xf numFmtId="0" fontId="35" fillId="0" borderId="17" xfId="0" applyFont="1" applyBorder="1" applyAlignment="1">
      <alignment horizontal="center" vertical="center" wrapText="1"/>
    </xf>
    <xf numFmtId="44" fontId="29" fillId="0" borderId="17" xfId="3" applyFont="1" applyBorder="1"/>
    <xf numFmtId="44" fontId="5" fillId="0" borderId="104" xfId="3" applyFont="1" applyBorder="1"/>
    <xf numFmtId="164" fontId="5" fillId="0" borderId="4" xfId="3" applyNumberFormat="1" applyFont="1" applyBorder="1"/>
    <xf numFmtId="0" fontId="32" fillId="0" borderId="116" xfId="0" applyFont="1" applyBorder="1" applyAlignment="1">
      <alignment vertical="center"/>
    </xf>
    <xf numFmtId="0" fontId="0" fillId="40" borderId="3" xfId="0" applyFill="1" applyBorder="1" applyAlignment="1">
      <alignment vertical="center"/>
    </xf>
    <xf numFmtId="165" fontId="25" fillId="0" borderId="117" xfId="1" applyNumberFormat="1" applyFont="1" applyBorder="1" applyAlignment="1">
      <alignment horizontal="right" vertical="center" wrapText="1"/>
    </xf>
    <xf numFmtId="167" fontId="34" fillId="41" borderId="3" xfId="2" applyNumberFormat="1" applyFont="1" applyFill="1" applyBorder="1" applyAlignment="1">
      <alignment vertical="center"/>
    </xf>
    <xf numFmtId="165" fontId="25" fillId="0" borderId="3" xfId="1" applyNumberFormat="1" applyFont="1" applyBorder="1" applyAlignment="1">
      <alignment horizontal="right" vertical="center" wrapText="1"/>
    </xf>
    <xf numFmtId="0" fontId="0" fillId="42" borderId="3" xfId="0" applyFill="1" applyBorder="1" applyAlignment="1">
      <alignment vertical="center"/>
    </xf>
    <xf numFmtId="43" fontId="0" fillId="7" borderId="3" xfId="0" applyNumberFormat="1" applyFill="1" applyBorder="1"/>
    <xf numFmtId="165" fontId="25" fillId="0" borderId="2" xfId="0" applyNumberFormat="1" applyFont="1" applyBorder="1" applyAlignment="1">
      <alignment horizontal="right" vertical="center" wrapText="1"/>
    </xf>
    <xf numFmtId="9" fontId="30" fillId="0" borderId="9" xfId="2" quotePrefix="1" applyFont="1" applyBorder="1" applyAlignment="1">
      <alignment horizontal="center" vertical="center"/>
    </xf>
    <xf numFmtId="165" fontId="29" fillId="0" borderId="2" xfId="1" applyNumberFormat="1" applyFont="1" applyBorder="1"/>
    <xf numFmtId="165" fontId="25" fillId="0" borderId="25" xfId="0" applyNumberFormat="1" applyFont="1" applyBorder="1" applyAlignment="1">
      <alignment horizontal="right" vertical="center" wrapText="1"/>
    </xf>
    <xf numFmtId="0" fontId="35" fillId="0" borderId="33" xfId="0" quotePrefix="1" applyFont="1" applyBorder="1" applyAlignment="1">
      <alignment horizontal="center" vertical="center" wrapText="1"/>
    </xf>
    <xf numFmtId="164" fontId="5" fillId="0" borderId="0" xfId="3" applyNumberFormat="1" applyFont="1" applyAlignment="1">
      <alignment horizontal="right"/>
    </xf>
    <xf numFmtId="167" fontId="5" fillId="0" borderId="0" xfId="2" applyNumberFormat="1" applyFont="1"/>
    <xf numFmtId="0" fontId="29" fillId="0" borderId="0" xfId="0" applyFont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66" xfId="0" applyFont="1" applyBorder="1" applyAlignment="1">
      <alignment horizontal="left" vertical="top" wrapText="1"/>
    </xf>
    <xf numFmtId="0" fontId="27" fillId="0" borderId="0" xfId="0" applyFont="1"/>
    <xf numFmtId="44" fontId="34" fillId="0" borderId="0" xfId="3" applyFont="1" applyAlignment="1">
      <alignment horizontal="right" vertical="center"/>
    </xf>
    <xf numFmtId="172" fontId="29" fillId="0" borderId="0" xfId="3" applyNumberFormat="1" applyFont="1"/>
    <xf numFmtId="44" fontId="34" fillId="0" borderId="0" xfId="3" applyFont="1"/>
    <xf numFmtId="44" fontId="5" fillId="0" borderId="0" xfId="3" applyFont="1" applyAlignment="1">
      <alignment horizontal="right" wrapText="1"/>
    </xf>
    <xf numFmtId="0" fontId="0" fillId="0" borderId="0" xfId="0" applyAlignment="1">
      <alignment horizontal="left"/>
    </xf>
    <xf numFmtId="44" fontId="29" fillId="0" borderId="17" xfId="3" applyFont="1" applyBorder="1" applyAlignment="1">
      <alignment horizontal="left"/>
    </xf>
    <xf numFmtId="0" fontId="34" fillId="42" borderId="0" xfId="0" applyFont="1" applyFill="1" applyAlignment="1">
      <alignment vertical="center"/>
    </xf>
    <xf numFmtId="0" fontId="34" fillId="7" borderId="0" xfId="0" applyFont="1" applyFill="1" applyAlignment="1">
      <alignment vertical="center"/>
    </xf>
    <xf numFmtId="10" fontId="30" fillId="0" borderId="119" xfId="2" applyNumberFormat="1" applyFont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left"/>
    </xf>
    <xf numFmtId="0" fontId="25" fillId="0" borderId="17" xfId="0" applyFont="1" applyBorder="1" applyAlignment="1">
      <alignment horizontal="right" vertical="center" wrapText="1"/>
    </xf>
    <xf numFmtId="167" fontId="34" fillId="0" borderId="41" xfId="2" applyNumberFormat="1" applyFont="1" applyBorder="1"/>
    <xf numFmtId="0" fontId="35" fillId="0" borderId="113" xfId="0" quotePrefix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166" fontId="5" fillId="0" borderId="0" xfId="3" applyNumberFormat="1" applyFont="1" applyAlignment="1">
      <alignment horizontal="right" wrapText="1"/>
    </xf>
    <xf numFmtId="0" fontId="0" fillId="40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22" fillId="41" borderId="3" xfId="0" applyFont="1" applyFill="1" applyBorder="1" applyAlignment="1">
      <alignment horizontal="center" textRotation="90"/>
    </xf>
    <xf numFmtId="0" fontId="0" fillId="42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74" fillId="0" borderId="3" xfId="0" applyFont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center" wrapText="1"/>
    </xf>
    <xf numFmtId="0" fontId="0" fillId="43" borderId="0" xfId="0" applyFill="1"/>
    <xf numFmtId="9" fontId="30" fillId="0" borderId="0" xfId="2" applyFont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32" fillId="0" borderId="110" xfId="0" applyFont="1" applyBorder="1" applyAlignment="1">
      <alignment vertical="center" wrapText="1"/>
    </xf>
    <xf numFmtId="0" fontId="0" fillId="42" borderId="3" xfId="0" applyFill="1" applyBorder="1"/>
    <xf numFmtId="164" fontId="5" fillId="0" borderId="17" xfId="0" applyNumberFormat="1" applyFont="1" applyBorder="1"/>
    <xf numFmtId="0" fontId="0" fillId="0" borderId="10" xfId="0" applyBorder="1"/>
    <xf numFmtId="0" fontId="0" fillId="42" borderId="41" xfId="0" applyFill="1" applyBorder="1"/>
    <xf numFmtId="164" fontId="5" fillId="0" borderId="41" xfId="3" applyNumberFormat="1" applyFont="1" applyBorder="1" applyAlignment="1">
      <alignment horizontal="right"/>
    </xf>
    <xf numFmtId="167" fontId="0" fillId="41" borderId="41" xfId="2" applyNumberFormat="1" applyFont="1" applyFill="1" applyBorder="1"/>
    <xf numFmtId="0" fontId="0" fillId="7" borderId="41" xfId="0" applyFill="1" applyBorder="1"/>
    <xf numFmtId="167" fontId="29" fillId="41" borderId="41" xfId="2" applyNumberFormat="1" applyFont="1" applyFill="1" applyBorder="1"/>
    <xf numFmtId="0" fontId="29" fillId="40" borderId="41" xfId="0" applyFont="1" applyFill="1" applyBorder="1"/>
    <xf numFmtId="164" fontId="0" fillId="43" borderId="0" xfId="3" applyNumberFormat="1" applyFont="1" applyFill="1"/>
    <xf numFmtId="0" fontId="77" fillId="0" borderId="0" xfId="234" applyFont="1" applyAlignment="1">
      <alignment wrapText="1"/>
    </xf>
    <xf numFmtId="43" fontId="34" fillId="7" borderId="0" xfId="0" applyNumberFormat="1" applyFont="1" applyFill="1"/>
    <xf numFmtId="0" fontId="34" fillId="40" borderId="0" xfId="0" applyFont="1" applyFill="1"/>
    <xf numFmtId="0" fontId="0" fillId="0" borderId="123" xfId="0" applyBorder="1"/>
    <xf numFmtId="164" fontId="29" fillId="0" borderId="104" xfId="3" applyNumberFormat="1" applyFont="1" applyBorder="1"/>
    <xf numFmtId="164" fontId="5" fillId="0" borderId="41" xfId="3" applyNumberFormat="1" applyFont="1" applyBorder="1"/>
    <xf numFmtId="44" fontId="0" fillId="0" borderId="0" xfId="0" applyNumberFormat="1" applyAlignment="1">
      <alignment vertical="center"/>
    </xf>
    <xf numFmtId="173" fontId="0" fillId="0" borderId="0" xfId="0" applyNumberFormat="1" applyAlignment="1">
      <alignment horizontal="left"/>
    </xf>
    <xf numFmtId="0" fontId="0" fillId="0" borderId="123" xfId="0" applyBorder="1" applyAlignment="1">
      <alignment horizontal="right"/>
    </xf>
    <xf numFmtId="0" fontId="7" fillId="0" borderId="0" xfId="0" applyFont="1"/>
    <xf numFmtId="44" fontId="78" fillId="0" borderId="0" xfId="3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164" fontId="5" fillId="0" borderId="41" xfId="3" applyNumberFormat="1" applyFont="1" applyBorder="1" applyAlignment="1">
      <alignment horizontal="right"/>
    </xf>
    <xf numFmtId="0" fontId="10" fillId="0" borderId="41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/>
    </xf>
    <xf numFmtId="166" fontId="5" fillId="0" borderId="41" xfId="3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0" fillId="0" borderId="0" xfId="0" applyBorder="1"/>
    <xf numFmtId="164" fontId="5" fillId="0" borderId="0" xfId="3" applyNumberFormat="1" applyFont="1" applyBorder="1" applyAlignment="1">
      <alignment horizontal="right"/>
    </xf>
    <xf numFmtId="164" fontId="5" fillId="0" borderId="0" xfId="3" applyNumberFormat="1" applyFont="1" applyAlignment="1">
      <alignment horizontal="left"/>
    </xf>
    <xf numFmtId="164" fontId="1" fillId="0" borderId="0" xfId="3" applyNumberFormat="1" applyFont="1" applyBorder="1"/>
    <xf numFmtId="167" fontId="34" fillId="41" borderId="0" xfId="2" applyNumberFormat="1" applyFont="1" applyFill="1"/>
    <xf numFmtId="0" fontId="34" fillId="42" borderId="0" xfId="0" applyFont="1" applyFill="1"/>
    <xf numFmtId="0" fontId="34" fillId="40" borderId="0" xfId="0" applyFont="1" applyFill="1" applyBorder="1"/>
    <xf numFmtId="167" fontId="34" fillId="41" borderId="0" xfId="2" applyNumberFormat="1" applyFont="1" applyFill="1" applyBorder="1"/>
    <xf numFmtId="0" fontId="34" fillId="42" borderId="0" xfId="0" applyFont="1" applyFill="1" applyBorder="1"/>
    <xf numFmtId="43" fontId="34" fillId="7" borderId="0" xfId="0" applyNumberFormat="1" applyFont="1" applyFill="1" applyBorder="1"/>
    <xf numFmtId="0" fontId="5" fillId="0" borderId="41" xfId="0" applyFont="1" applyBorder="1"/>
    <xf numFmtId="0" fontId="5" fillId="0" borderId="41" xfId="0" applyFont="1" applyBorder="1" applyAlignment="1">
      <alignment horizontal="right"/>
    </xf>
    <xf numFmtId="164" fontId="5" fillId="0" borderId="17" xfId="3" applyNumberFormat="1" applyFont="1" applyBorder="1"/>
    <xf numFmtId="0" fontId="0" fillId="0" borderId="0" xfId="0" applyBorder="1" applyAlignment="1">
      <alignment vertical="center"/>
    </xf>
    <xf numFmtId="164" fontId="5" fillId="0" borderId="56" xfId="3" applyNumberFormat="1" applyFont="1" applyBorder="1" applyAlignment="1">
      <alignment horizontal="left" vertical="center"/>
    </xf>
    <xf numFmtId="167" fontId="34" fillId="0" borderId="3" xfId="2" applyNumberFormat="1" applyFont="1" applyBorder="1"/>
    <xf numFmtId="44" fontId="0" fillId="0" borderId="0" xfId="1" applyNumberFormat="1" applyFont="1" applyAlignment="1">
      <alignment horizontal="left"/>
    </xf>
    <xf numFmtId="0" fontId="33" fillId="0" borderId="0" xfId="0" applyFont="1"/>
    <xf numFmtId="9" fontId="33" fillId="0" borderId="0" xfId="2" applyFont="1"/>
    <xf numFmtId="167" fontId="32" fillId="41" borderId="0" xfId="2" applyNumberFormat="1" applyFont="1" applyFill="1"/>
    <xf numFmtId="0" fontId="32" fillId="42" borderId="0" xfId="0" applyFont="1" applyFill="1"/>
    <xf numFmtId="0" fontId="32" fillId="7" borderId="0" xfId="0" applyFont="1" applyFill="1"/>
    <xf numFmtId="0" fontId="5" fillId="0" borderId="1" xfId="0" applyFont="1" applyBorder="1" applyAlignment="1">
      <alignment horizontal="left" vertical="center" wrapText="1" indent="1"/>
    </xf>
    <xf numFmtId="164" fontId="25" fillId="0" borderId="52" xfId="3" applyNumberFormat="1" applyFont="1" applyBorder="1" applyAlignment="1">
      <alignment horizontal="left" vertical="center" wrapText="1"/>
    </xf>
    <xf numFmtId="0" fontId="79" fillId="0" borderId="0" xfId="0" applyFont="1"/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164" fontId="29" fillId="0" borderId="7" xfId="3" applyNumberFormat="1" applyFont="1" applyBorder="1"/>
    <xf numFmtId="164" fontId="29" fillId="40" borderId="0" xfId="0" applyNumberFormat="1" applyFont="1" applyFill="1"/>
    <xf numFmtId="164" fontId="71" fillId="0" borderId="115" xfId="3" applyNumberFormat="1" applyFont="1" applyBorder="1" applyAlignment="1">
      <alignment horizontal="left" vertical="center" wrapText="1"/>
    </xf>
    <xf numFmtId="164" fontId="71" fillId="0" borderId="24" xfId="3" applyNumberFormat="1" applyFont="1" applyBorder="1" applyAlignment="1">
      <alignment horizontal="left" vertical="center" wrapText="1"/>
    </xf>
    <xf numFmtId="164" fontId="34" fillId="40" borderId="0" xfId="0" applyNumberFormat="1" applyFont="1" applyFill="1" applyAlignment="1">
      <alignment vertical="center"/>
    </xf>
    <xf numFmtId="164" fontId="34" fillId="0" borderId="114" xfId="3" applyNumberFormat="1" applyFont="1" applyBorder="1"/>
    <xf numFmtId="164" fontId="30" fillId="0" borderId="46" xfId="2" applyNumberFormat="1" applyFont="1" applyBorder="1" applyAlignment="1">
      <alignment horizontal="center" vertical="center"/>
    </xf>
    <xf numFmtId="164" fontId="30" fillId="0" borderId="119" xfId="2" applyNumberFormat="1" applyFont="1" applyBorder="1" applyAlignment="1">
      <alignment horizontal="center" vertical="center"/>
    </xf>
    <xf numFmtId="164" fontId="29" fillId="0" borderId="7" xfId="3" applyNumberFormat="1" applyFont="1" applyBorder="1" applyAlignment="1" applyProtection="1">
      <alignment vertical="top"/>
      <protection locked="0"/>
    </xf>
    <xf numFmtId="164" fontId="25" fillId="0" borderId="112" xfId="1" applyNumberFormat="1" applyFont="1" applyBorder="1" applyAlignment="1">
      <alignment vertical="top" wrapText="1"/>
    </xf>
    <xf numFmtId="164" fontId="5" fillId="40" borderId="0" xfId="0" applyNumberFormat="1" applyFont="1" applyFill="1"/>
    <xf numFmtId="164" fontId="25" fillId="0" borderId="43" xfId="3" applyNumberFormat="1" applyFont="1" applyBorder="1" applyAlignment="1">
      <alignment horizontal="right" vertical="top" wrapText="1"/>
    </xf>
    <xf numFmtId="164" fontId="29" fillId="0" borderId="113" xfId="3" applyNumberFormat="1" applyFont="1" applyBorder="1"/>
    <xf numFmtId="164" fontId="29" fillId="0" borderId="5" xfId="3" applyNumberFormat="1" applyFont="1" applyBorder="1"/>
    <xf numFmtId="164" fontId="33" fillId="0" borderId="7" xfId="3" applyNumberFormat="1" applyFont="1" applyBorder="1"/>
    <xf numFmtId="164" fontId="33" fillId="0" borderId="5" xfId="3" applyNumberFormat="1" applyFont="1" applyBorder="1"/>
    <xf numFmtId="164" fontId="33" fillId="40" borderId="0" xfId="0" applyNumberFormat="1" applyFont="1" applyFill="1"/>
    <xf numFmtId="164" fontId="34" fillId="0" borderId="115" xfId="3" applyNumberFormat="1" applyFont="1" applyBorder="1"/>
    <xf numFmtId="164" fontId="34" fillId="0" borderId="120" xfId="3" applyNumberFormat="1" applyFont="1" applyBorder="1"/>
    <xf numFmtId="164" fontId="34" fillId="40" borderId="0" xfId="0" applyNumberFormat="1" applyFont="1" applyFill="1"/>
    <xf numFmtId="164" fontId="34" fillId="0" borderId="114" xfId="3" applyNumberFormat="1" applyFont="1" applyBorder="1" applyAlignment="1" applyProtection="1">
      <alignment vertical="top"/>
      <protection locked="0"/>
    </xf>
    <xf numFmtId="164" fontId="30" fillId="0" borderId="2" xfId="2" applyNumberFormat="1" applyFont="1" applyBorder="1" applyAlignment="1">
      <alignment horizontal="center" vertical="center"/>
    </xf>
    <xf numFmtId="164" fontId="34" fillId="0" borderId="7" xfId="3" applyNumberFormat="1" applyFont="1" applyBorder="1"/>
    <xf numFmtId="164" fontId="34" fillId="0" borderId="6" xfId="3" applyNumberFormat="1" applyFont="1" applyBorder="1"/>
    <xf numFmtId="164" fontId="0" fillId="0" borderId="123" xfId="0" applyNumberFormat="1" applyBorder="1"/>
    <xf numFmtId="164" fontId="0" fillId="0" borderId="0" xfId="0" applyNumberFormat="1" applyAlignment="1">
      <alignment horizontal="right"/>
    </xf>
    <xf numFmtId="164" fontId="5" fillId="0" borderId="43" xfId="0" applyNumberFormat="1" applyFont="1" applyBorder="1"/>
    <xf numFmtId="164" fontId="5" fillId="0" borderId="41" xfId="0" applyNumberFormat="1" applyFont="1" applyBorder="1"/>
    <xf numFmtId="164" fontId="5" fillId="40" borderId="41" xfId="0" applyNumberFormat="1" applyFont="1" applyFill="1" applyBorder="1"/>
    <xf numFmtId="164" fontId="5" fillId="0" borderId="41" xfId="0" applyNumberFormat="1" applyFont="1" applyBorder="1" applyAlignment="1">
      <alignment horizontal="right"/>
    </xf>
    <xf numFmtId="164" fontId="29" fillId="0" borderId="17" xfId="3" applyNumberFormat="1" applyFont="1" applyBorder="1"/>
    <xf numFmtId="164" fontId="34" fillId="0" borderId="110" xfId="3" applyNumberFormat="1" applyFont="1" applyBorder="1"/>
    <xf numFmtId="164" fontId="5" fillId="0" borderId="104" xfId="3" applyNumberFormat="1" applyFont="1" applyBorder="1"/>
    <xf numFmtId="164" fontId="29" fillId="0" borderId="111" xfId="3" applyNumberFormat="1" applyFont="1" applyBorder="1"/>
    <xf numFmtId="164" fontId="33" fillId="0" borderId="17" xfId="3" applyNumberFormat="1" applyFont="1" applyBorder="1"/>
    <xf numFmtId="164" fontId="5" fillId="0" borderId="10" xfId="0" applyNumberFormat="1" applyFont="1" applyBorder="1" applyAlignment="1">
      <alignment horizontal="right"/>
    </xf>
    <xf numFmtId="164" fontId="5" fillId="0" borderId="104" xfId="0" applyNumberFormat="1" applyFont="1" applyBorder="1"/>
    <xf numFmtId="9" fontId="7" fillId="0" borderId="0" xfId="0" applyNumberFormat="1" applyFont="1" applyAlignment="1">
      <alignment horizontal="left"/>
    </xf>
    <xf numFmtId="44" fontId="33" fillId="0" borderId="0" xfId="3" applyFont="1"/>
    <xf numFmtId="44" fontId="33" fillId="0" borderId="0" xfId="3" applyFont="1" applyBorder="1"/>
    <xf numFmtId="0" fontId="29" fillId="0" borderId="0" xfId="0" applyFont="1" applyAlignment="1">
      <alignment horizontal="left"/>
    </xf>
    <xf numFmtId="0" fontId="24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vertical="center" wrapText="1"/>
    </xf>
    <xf numFmtId="0" fontId="27" fillId="0" borderId="0" xfId="0" applyFont="1" applyBorder="1"/>
    <xf numFmtId="10" fontId="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164" fontId="29" fillId="0" borderId="0" xfId="3" applyNumberFormat="1" applyFont="1" applyBorder="1"/>
    <xf numFmtId="164" fontId="34" fillId="0" borderId="0" xfId="3" applyNumberFormat="1" applyFont="1" applyBorder="1"/>
    <xf numFmtId="164" fontId="5" fillId="0" borderId="0" xfId="3" applyNumberFormat="1" applyFont="1" applyBorder="1"/>
    <xf numFmtId="164" fontId="81" fillId="0" borderId="0" xfId="3" applyNumberFormat="1" applyFont="1" applyBorder="1"/>
    <xf numFmtId="164" fontId="80" fillId="0" borderId="0" xfId="3" applyNumberFormat="1" applyFont="1" applyBorder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/>
    <xf numFmtId="164" fontId="0" fillId="0" borderId="0" xfId="0" applyNumberFormat="1" applyAlignment="1">
      <alignment horizontal="left"/>
    </xf>
    <xf numFmtId="0" fontId="0" fillId="0" borderId="0" xfId="0" applyAlignment="1"/>
    <xf numFmtId="0" fontId="79" fillId="0" borderId="0" xfId="0" applyFont="1" applyBorder="1"/>
    <xf numFmtId="164" fontId="69" fillId="0" borderId="0" xfId="3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32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wrapText="1"/>
    </xf>
    <xf numFmtId="0" fontId="32" fillId="0" borderId="3" xfId="0" applyFont="1" applyBorder="1" applyAlignment="1">
      <alignment horizontal="center" vertical="center" textRotation="90"/>
    </xf>
    <xf numFmtId="0" fontId="77" fillId="0" borderId="0" xfId="234" applyFont="1" applyAlignment="1">
      <alignment horizontal="left" vertical="center" wrapText="1"/>
    </xf>
    <xf numFmtId="0" fontId="32" fillId="0" borderId="1" xfId="0" applyFont="1" applyBorder="1" applyAlignment="1">
      <alignment horizontal="center" vertical="center" textRotation="90"/>
    </xf>
    <xf numFmtId="10" fontId="5" fillId="0" borderId="0" xfId="0" applyNumberFormat="1" applyFont="1" applyAlignment="1">
      <alignment horizontal="center"/>
    </xf>
    <xf numFmtId="10" fontId="5" fillId="0" borderId="17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0" fontId="30" fillId="0" borderId="46" xfId="2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textRotation="90"/>
    </xf>
    <xf numFmtId="0" fontId="0" fillId="0" borderId="0" xfId="0" applyFill="1" applyBorder="1" applyAlignment="1"/>
    <xf numFmtId="0" fontId="0" fillId="43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9" fillId="0" borderId="0" xfId="0" applyFont="1" applyFill="1" applyBorder="1" applyAlignment="1"/>
    <xf numFmtId="0" fontId="0" fillId="0" borderId="0" xfId="0" applyFill="1"/>
    <xf numFmtId="44" fontId="34" fillId="0" borderId="0" xfId="3" applyFont="1" applyFill="1" applyBorder="1"/>
    <xf numFmtId="9" fontId="34" fillId="0" borderId="0" xfId="2" applyFont="1" applyFill="1" applyBorder="1"/>
    <xf numFmtId="164" fontId="0" fillId="0" borderId="0" xfId="3" applyNumberFormat="1" applyFont="1" applyFill="1"/>
    <xf numFmtId="164" fontId="34" fillId="40" borderId="3" xfId="0" applyNumberFormat="1" applyFont="1" applyFill="1" applyBorder="1"/>
    <xf numFmtId="0" fontId="0" fillId="44" borderId="4" xfId="0" applyFill="1" applyBorder="1"/>
    <xf numFmtId="0" fontId="5" fillId="44" borderId="0" xfId="0" applyFont="1" applyFill="1" applyBorder="1" applyAlignment="1">
      <alignment horizontal="center" wrapText="1"/>
    </xf>
    <xf numFmtId="0" fontId="0" fillId="40" borderId="0" xfId="0" applyFill="1" applyBorder="1"/>
    <xf numFmtId="0" fontId="24" fillId="0" borderId="17" xfId="0" applyFont="1" applyBorder="1" applyAlignment="1">
      <alignment horizontal="center" wrapText="1"/>
    </xf>
    <xf numFmtId="0" fontId="5" fillId="4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45" borderId="3" xfId="0" applyFont="1" applyFill="1" applyBorder="1" applyAlignment="1">
      <alignment horizontal="center" vertical="center"/>
    </xf>
    <xf numFmtId="0" fontId="77" fillId="45" borderId="0" xfId="234" applyFont="1" applyFill="1" applyBorder="1" applyAlignment="1">
      <alignment vertical="center" wrapText="1"/>
    </xf>
    <xf numFmtId="0" fontId="24" fillId="45" borderId="4" xfId="0" applyFont="1" applyFill="1" applyBorder="1" applyAlignment="1">
      <alignment horizontal="center" vertical="center"/>
    </xf>
    <xf numFmtId="0" fontId="32" fillId="0" borderId="0" xfId="0" applyFont="1" applyBorder="1"/>
    <xf numFmtId="0" fontId="32" fillId="0" borderId="0" xfId="0" applyFont="1" applyAlignment="1">
      <alignment horizontal="center" vertical="center" textRotation="90"/>
    </xf>
    <xf numFmtId="0" fontId="32" fillId="0" borderId="3" xfId="0" applyFont="1" applyBorder="1" applyAlignment="1">
      <alignment horizontal="center" vertical="center" textRotation="90"/>
    </xf>
    <xf numFmtId="0" fontId="32" fillId="0" borderId="1" xfId="0" applyFont="1" applyBorder="1" applyAlignment="1">
      <alignment horizontal="center" vertical="center" textRotation="90"/>
    </xf>
    <xf numFmtId="10" fontId="30" fillId="0" borderId="46" xfId="2" applyNumberFormat="1" applyFont="1" applyBorder="1" applyAlignment="1">
      <alignment horizontal="center" vertical="center"/>
    </xf>
    <xf numFmtId="164" fontId="69" fillId="0" borderId="0" xfId="3" applyNumberFormat="1" applyFont="1" applyAlignment="1">
      <alignment horizontal="center"/>
    </xf>
    <xf numFmtId="0" fontId="0" fillId="0" borderId="128" xfId="0" applyBorder="1"/>
    <xf numFmtId="0" fontId="0" fillId="0" borderId="129" xfId="0" applyBorder="1" applyAlignment="1">
      <alignment vertical="center"/>
    </xf>
    <xf numFmtId="0" fontId="0" fillId="0" borderId="129" xfId="0" applyBorder="1"/>
    <xf numFmtId="0" fontId="79" fillId="0" borderId="129" xfId="0" applyFont="1" applyBorder="1"/>
    <xf numFmtId="0" fontId="82" fillId="0" borderId="0" xfId="0" applyFont="1"/>
    <xf numFmtId="44" fontId="82" fillId="0" borderId="0" xfId="2" applyNumberFormat="1" applyFont="1"/>
    <xf numFmtId="0" fontId="82" fillId="0" borderId="0" xfId="0" applyFont="1" applyAlignment="1">
      <alignment vertical="center"/>
    </xf>
    <xf numFmtId="164" fontId="82" fillId="0" borderId="0" xfId="0" applyNumberFormat="1" applyFont="1"/>
    <xf numFmtId="0" fontId="83" fillId="0" borderId="0" xfId="0" applyFont="1" applyBorder="1"/>
    <xf numFmtId="0" fontId="85" fillId="0" borderId="74" xfId="0" applyFont="1" applyBorder="1" applyAlignment="1">
      <alignment vertical="center"/>
    </xf>
    <xf numFmtId="0" fontId="85" fillId="45" borderId="4" xfId="0" applyFont="1" applyFill="1" applyBorder="1" applyAlignment="1">
      <alignment vertical="center"/>
    </xf>
    <xf numFmtId="10" fontId="86" fillId="0" borderId="0" xfId="2" applyNumberFormat="1" applyFont="1" applyBorder="1" applyAlignment="1">
      <alignment horizontal="center" vertical="center"/>
    </xf>
    <xf numFmtId="0" fontId="87" fillId="0" borderId="126" xfId="0" applyFont="1" applyBorder="1" applyAlignment="1"/>
    <xf numFmtId="0" fontId="87" fillId="44" borderId="0" xfId="0" applyFont="1" applyFill="1" applyBorder="1" applyAlignment="1"/>
    <xf numFmtId="10" fontId="86" fillId="0" borderId="7" xfId="2" applyNumberFormat="1" applyFont="1" applyBorder="1" applyAlignment="1">
      <alignment horizontal="center" vertical="center"/>
    </xf>
    <xf numFmtId="0" fontId="87" fillId="0" borderId="74" xfId="0" applyFont="1" applyBorder="1" applyAlignment="1"/>
    <xf numFmtId="0" fontId="87" fillId="40" borderId="0" xfId="0" applyFont="1" applyFill="1" applyAlignment="1">
      <alignment horizontal="center" vertical="center"/>
    </xf>
    <xf numFmtId="10" fontId="86" fillId="0" borderId="122" xfId="2" applyNumberFormat="1" applyFont="1" applyBorder="1" applyAlignment="1">
      <alignment horizontal="center" vertical="center"/>
    </xf>
    <xf numFmtId="0" fontId="8" fillId="41" borderId="74" xfId="0" applyFont="1" applyFill="1" applyBorder="1" applyAlignment="1">
      <alignment horizontal="center" textRotation="90"/>
    </xf>
    <xf numFmtId="0" fontId="87" fillId="42" borderId="74" xfId="0" applyFont="1" applyFill="1" applyBorder="1" applyAlignment="1"/>
    <xf numFmtId="0" fontId="87" fillId="7" borderId="74" xfId="0" applyFont="1" applyFill="1" applyBorder="1" applyAlignment="1"/>
    <xf numFmtId="10" fontId="86" fillId="0" borderId="121" xfId="2" applyNumberFormat="1" applyFont="1" applyBorder="1" applyAlignment="1">
      <alignment horizontal="left" vertical="center"/>
    </xf>
    <xf numFmtId="0" fontId="85" fillId="45" borderId="0" xfId="0" applyFont="1" applyFill="1" applyBorder="1" applyAlignment="1">
      <alignment vertical="center"/>
    </xf>
    <xf numFmtId="43" fontId="85" fillId="0" borderId="41" xfId="1" applyFont="1" applyBorder="1" applyAlignment="1"/>
    <xf numFmtId="41" fontId="85" fillId="0" borderId="43" xfId="3" applyNumberFormat="1" applyFont="1" applyBorder="1" applyAlignment="1"/>
    <xf numFmtId="0" fontId="8" fillId="41" borderId="0" xfId="0" applyFont="1" applyFill="1" applyAlignment="1">
      <alignment horizontal="center" textRotation="90"/>
    </xf>
    <xf numFmtId="0" fontId="85" fillId="7" borderId="0" xfId="0" applyFont="1" applyFill="1" applyAlignment="1"/>
    <xf numFmtId="0" fontId="85" fillId="0" borderId="0" xfId="0" applyFont="1" applyBorder="1" applyAlignment="1">
      <alignment vertical="center"/>
    </xf>
    <xf numFmtId="164" fontId="85" fillId="0" borderId="0" xfId="3" applyNumberFormat="1" applyFont="1" applyBorder="1" applyAlignment="1">
      <alignment horizontal="left" vertical="center"/>
    </xf>
    <xf numFmtId="9" fontId="85" fillId="0" borderId="5" xfId="2" applyFont="1" applyBorder="1" applyAlignment="1"/>
    <xf numFmtId="9" fontId="85" fillId="44" borderId="0" xfId="2" applyFont="1" applyFill="1" applyBorder="1" applyAlignment="1"/>
    <xf numFmtId="164" fontId="85" fillId="0" borderId="7" xfId="3" applyNumberFormat="1" applyFont="1" applyBorder="1" applyAlignment="1">
      <alignment horizontal="left" vertical="center"/>
    </xf>
    <xf numFmtId="9" fontId="85" fillId="0" borderId="0" xfId="2" applyFont="1" applyBorder="1" applyAlignment="1"/>
    <xf numFmtId="0" fontId="87" fillId="40" borderId="0" xfId="0" applyFont="1" applyFill="1" applyBorder="1" applyAlignment="1">
      <alignment horizontal="center" vertical="center"/>
    </xf>
    <xf numFmtId="9" fontId="85" fillId="0" borderId="0" xfId="2" applyNumberFormat="1" applyFont="1" applyBorder="1" applyAlignment="1"/>
    <xf numFmtId="0" fontId="85" fillId="7" borderId="0" xfId="0" applyFont="1" applyFill="1" applyBorder="1" applyAlignment="1"/>
    <xf numFmtId="164" fontId="85" fillId="0" borderId="17" xfId="3" applyNumberFormat="1" applyFont="1" applyBorder="1" applyAlignment="1">
      <alignment horizontal="left" vertical="center"/>
    </xf>
    <xf numFmtId="164" fontId="89" fillId="0" borderId="7" xfId="3" applyNumberFormat="1" applyFont="1" applyBorder="1" applyAlignment="1">
      <alignment horizontal="left" vertical="center"/>
    </xf>
    <xf numFmtId="9" fontId="89" fillId="0" borderId="0" xfId="2" applyNumberFormat="1" applyFont="1" applyBorder="1" applyAlignment="1"/>
    <xf numFmtId="164" fontId="89" fillId="0" borderId="17" xfId="3" applyNumberFormat="1" applyFont="1" applyBorder="1" applyAlignment="1">
      <alignment horizontal="left" vertical="center"/>
    </xf>
    <xf numFmtId="43" fontId="85" fillId="0" borderId="41" xfId="1" applyFont="1" applyBorder="1" applyAlignment="1">
      <alignment horizontal="left"/>
    </xf>
    <xf numFmtId="44" fontId="85" fillId="0" borderId="43" xfId="3" applyFont="1" applyBorder="1" applyAlignment="1">
      <alignment horizontal="left"/>
    </xf>
    <xf numFmtId="164" fontId="90" fillId="0" borderId="0" xfId="3" applyNumberFormat="1" applyFont="1" applyBorder="1" applyAlignment="1">
      <alignment horizontal="left" vertical="center"/>
    </xf>
    <xf numFmtId="164" fontId="91" fillId="0" borderId="7" xfId="3" applyNumberFormat="1" applyFont="1" applyBorder="1" applyAlignment="1">
      <alignment horizontal="left" vertical="center"/>
    </xf>
    <xf numFmtId="164" fontId="89" fillId="0" borderId="7" xfId="3" applyNumberFormat="1" applyFont="1" applyBorder="1" applyAlignment="1">
      <alignment horizontal="left"/>
    </xf>
    <xf numFmtId="0" fontId="89" fillId="7" borderId="0" xfId="0" applyFont="1" applyFill="1" applyBorder="1" applyAlignment="1">
      <alignment vertical="center"/>
    </xf>
    <xf numFmtId="164" fontId="89" fillId="0" borderId="17" xfId="3" applyNumberFormat="1" applyFont="1" applyBorder="1" applyAlignment="1">
      <alignment horizontal="left"/>
    </xf>
    <xf numFmtId="164" fontId="90" fillId="0" borderId="114" xfId="3" applyNumberFormat="1" applyFont="1" applyBorder="1" applyAlignment="1">
      <alignment horizontal="left" vertical="center"/>
    </xf>
    <xf numFmtId="164" fontId="90" fillId="0" borderId="7" xfId="3" applyNumberFormat="1" applyFont="1" applyBorder="1" applyAlignment="1">
      <alignment horizontal="left" vertical="center"/>
    </xf>
    <xf numFmtId="10" fontId="86" fillId="0" borderId="123" xfId="2" applyNumberFormat="1" applyFont="1" applyBorder="1" applyAlignment="1">
      <alignment horizontal="left" vertical="center"/>
    </xf>
    <xf numFmtId="164" fontId="92" fillId="0" borderId="123" xfId="0" applyNumberFormat="1" applyFont="1" applyBorder="1" applyAlignment="1">
      <alignment horizontal="left" vertical="center"/>
    </xf>
    <xf numFmtId="0" fontId="92" fillId="0" borderId="10" xfId="0" applyFont="1" applyBorder="1" applyAlignment="1">
      <alignment horizontal="left" vertical="center"/>
    </xf>
    <xf numFmtId="43" fontId="85" fillId="0" borderId="43" xfId="1" applyFont="1" applyBorder="1" applyAlignment="1">
      <alignment horizontal="left"/>
    </xf>
    <xf numFmtId="0" fontId="90" fillId="7" borderId="0" xfId="0" applyFont="1" applyFill="1" applyBorder="1" applyAlignment="1"/>
    <xf numFmtId="9" fontId="91" fillId="0" borderId="5" xfId="2" applyFont="1" applyBorder="1" applyAlignment="1"/>
    <xf numFmtId="0" fontId="91" fillId="7" borderId="3" xfId="0" applyFont="1" applyFill="1" applyBorder="1" applyAlignment="1"/>
    <xf numFmtId="0" fontId="84" fillId="0" borderId="4" xfId="0" applyFont="1" applyBorder="1" applyAlignment="1">
      <alignment vertical="center" textRotation="90" wrapText="1"/>
    </xf>
    <xf numFmtId="0" fontId="90" fillId="7" borderId="4" xfId="0" applyFont="1" applyFill="1" applyBorder="1" applyAlignment="1"/>
    <xf numFmtId="164" fontId="88" fillId="0" borderId="41" xfId="3" applyNumberFormat="1" applyFont="1" applyBorder="1" applyAlignment="1">
      <alignment wrapText="1"/>
    </xf>
    <xf numFmtId="0" fontId="85" fillId="7" borderId="41" xfId="0" applyFont="1" applyFill="1" applyBorder="1" applyAlignment="1"/>
    <xf numFmtId="0" fontId="91" fillId="0" borderId="17" xfId="234" applyFont="1" applyBorder="1" applyAlignment="1">
      <alignment vertical="center" wrapText="1"/>
    </xf>
    <xf numFmtId="0" fontId="91" fillId="0" borderId="0" xfId="234" applyFont="1" applyBorder="1" applyAlignment="1">
      <alignment vertical="center" wrapText="1"/>
    </xf>
    <xf numFmtId="0" fontId="91" fillId="44" borderId="0" xfId="234" applyFont="1" applyFill="1" applyBorder="1" applyAlignment="1">
      <alignment vertical="center" wrapText="1"/>
    </xf>
    <xf numFmtId="0" fontId="91" fillId="0" borderId="0" xfId="234" applyFont="1" applyAlignment="1">
      <alignment vertical="center" wrapText="1"/>
    </xf>
    <xf numFmtId="0" fontId="69" fillId="0" borderId="17" xfId="0" applyFont="1" applyBorder="1" applyAlignment="1">
      <alignment horizontal="center"/>
    </xf>
    <xf numFmtId="0" fontId="87" fillId="42" borderId="0" xfId="0" applyFont="1" applyFill="1"/>
    <xf numFmtId="0" fontId="87" fillId="7" borderId="0" xfId="0" applyFont="1" applyFill="1" applyAlignment="1">
      <alignment horizontal="center" vertical="center"/>
    </xf>
    <xf numFmtId="10" fontId="8" fillId="0" borderId="1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44" borderId="0" xfId="0" applyFont="1" applyFill="1" applyBorder="1" applyAlignment="1">
      <alignment horizontal="center" wrapText="1"/>
    </xf>
    <xf numFmtId="164" fontId="8" fillId="0" borderId="17" xfId="3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0" fontId="8" fillId="0" borderId="17" xfId="0" applyNumberFormat="1" applyFont="1" applyBorder="1" applyAlignment="1">
      <alignment horizontal="center"/>
    </xf>
    <xf numFmtId="0" fontId="0" fillId="0" borderId="4" xfId="0" applyFill="1" applyBorder="1"/>
    <xf numFmtId="164" fontId="0" fillId="0" borderId="127" xfId="3" applyNumberFormat="1" applyFont="1" applyFill="1" applyBorder="1"/>
    <xf numFmtId="0" fontId="91" fillId="0" borderId="17" xfId="234" applyFont="1" applyFill="1" applyBorder="1" applyAlignment="1">
      <alignment vertical="center" wrapText="1"/>
    </xf>
    <xf numFmtId="0" fontId="91" fillId="0" borderId="0" xfId="234" applyFont="1" applyFill="1" applyAlignment="1">
      <alignment vertical="center" wrapText="1"/>
    </xf>
    <xf numFmtId="174" fontId="85" fillId="0" borderId="17" xfId="3" applyNumberFormat="1" applyFont="1" applyBorder="1" applyAlignment="1">
      <alignment horizontal="left" vertical="center"/>
    </xf>
    <xf numFmtId="9" fontId="85" fillId="0" borderId="0" xfId="2" applyNumberFormat="1" applyFont="1" applyFill="1" applyBorder="1" applyAlignment="1"/>
    <xf numFmtId="0" fontId="8" fillId="0" borderId="0" xfId="0" applyFont="1" applyFill="1" applyBorder="1" applyAlignment="1">
      <alignment horizontal="center" textRotation="90"/>
    </xf>
    <xf numFmtId="0" fontId="87" fillId="0" borderId="0" xfId="0" applyFont="1" applyFill="1" applyBorder="1" applyAlignment="1"/>
    <xf numFmtId="0" fontId="85" fillId="0" borderId="0" xfId="0" applyFont="1" applyFill="1" applyBorder="1" applyAlignment="1"/>
    <xf numFmtId="164" fontId="0" fillId="0" borderId="0" xfId="3" applyNumberFormat="1" applyFont="1" applyFill="1" applyBorder="1"/>
    <xf numFmtId="164" fontId="85" fillId="0" borderId="0" xfId="3" applyNumberFormat="1" applyFont="1" applyFill="1" applyBorder="1" applyAlignment="1">
      <alignment horizontal="left" vertical="center"/>
    </xf>
    <xf numFmtId="174" fontId="85" fillId="0" borderId="0" xfId="3" applyNumberFormat="1" applyFont="1" applyFill="1" applyBorder="1" applyAlignment="1">
      <alignment horizontal="left" vertical="center"/>
    </xf>
    <xf numFmtId="0" fontId="91" fillId="0" borderId="0" xfId="0" applyFont="1" applyBorder="1" applyAlignment="1">
      <alignment horizontal="right" vertical="center"/>
    </xf>
    <xf numFmtId="0" fontId="85" fillId="40" borderId="0" xfId="0" applyFont="1" applyFill="1" applyBorder="1" applyAlignment="1">
      <alignment horizontal="center" vertical="center"/>
    </xf>
    <xf numFmtId="0" fontId="89" fillId="41" borderId="0" xfId="0" applyFont="1" applyFill="1" applyBorder="1" applyAlignment="1">
      <alignment horizontal="center" textRotation="90"/>
    </xf>
    <xf numFmtId="0" fontId="85" fillId="42" borderId="0" xfId="0" applyFont="1" applyFill="1" applyBorder="1" applyAlignment="1"/>
    <xf numFmtId="0" fontId="89" fillId="0" borderId="1" xfId="0" applyFont="1" applyBorder="1" applyAlignment="1">
      <alignment vertical="center"/>
    </xf>
    <xf numFmtId="0" fontId="85" fillId="0" borderId="125" xfId="0" applyFont="1" applyBorder="1" applyAlignment="1"/>
    <xf numFmtId="0" fontId="85" fillId="44" borderId="0" xfId="0" applyFont="1" applyFill="1" applyBorder="1" applyAlignment="1"/>
    <xf numFmtId="0" fontId="85" fillId="0" borderId="41" xfId="0" applyFont="1" applyBorder="1" applyAlignment="1"/>
    <xf numFmtId="0" fontId="85" fillId="40" borderId="0" xfId="0" applyFont="1" applyFill="1" applyAlignment="1">
      <alignment horizontal="center" vertical="center"/>
    </xf>
    <xf numFmtId="0" fontId="85" fillId="0" borderId="43" xfId="0" applyFont="1" applyBorder="1" applyAlignment="1"/>
    <xf numFmtId="0" fontId="89" fillId="41" borderId="0" xfId="0" applyFont="1" applyFill="1" applyAlignment="1">
      <alignment horizontal="center" textRotation="90"/>
    </xf>
    <xf numFmtId="0" fontId="85" fillId="42" borderId="0" xfId="0" applyFont="1" applyFill="1" applyAlignment="1"/>
    <xf numFmtId="44" fontId="85" fillId="0" borderId="43" xfId="3" applyFont="1" applyBorder="1" applyAlignment="1"/>
    <xf numFmtId="44" fontId="85" fillId="0" borderId="104" xfId="3" applyFont="1" applyBorder="1" applyAlignment="1">
      <alignment horizontal="left"/>
    </xf>
    <xf numFmtId="0" fontId="85" fillId="41" borderId="0" xfId="0" applyFont="1" applyFill="1" applyBorder="1" applyAlignment="1">
      <alignment horizontal="center" textRotation="90"/>
    </xf>
    <xf numFmtId="164" fontId="85" fillId="0" borderId="43" xfId="0" applyNumberFormat="1" applyFont="1" applyBorder="1" applyAlignment="1">
      <alignment horizontal="left"/>
    </xf>
    <xf numFmtId="9" fontId="85" fillId="0" borderId="41" xfId="0" applyNumberFormat="1" applyFont="1" applyBorder="1" applyAlignment="1"/>
    <xf numFmtId="0" fontId="85" fillId="0" borderId="104" xfId="0" applyFont="1" applyBorder="1" applyAlignment="1">
      <alignment horizontal="left"/>
    </xf>
    <xf numFmtId="164" fontId="85" fillId="0" borderId="7" xfId="3" applyNumberFormat="1" applyFont="1" applyBorder="1" applyAlignment="1">
      <alignment horizontal="left"/>
    </xf>
    <xf numFmtId="0" fontId="85" fillId="45" borderId="0" xfId="0" applyFont="1" applyFill="1" applyBorder="1"/>
    <xf numFmtId="9" fontId="90" fillId="0" borderId="0" xfId="2" applyNumberFormat="1" applyFont="1" applyFill="1" applyBorder="1" applyAlignment="1"/>
    <xf numFmtId="0" fontId="85" fillId="0" borderId="4" xfId="0" applyFont="1" applyBorder="1" applyAlignment="1">
      <alignment vertical="center"/>
    </xf>
    <xf numFmtId="164" fontId="91" fillId="45" borderId="4" xfId="3" applyNumberFormat="1" applyFont="1" applyFill="1" applyBorder="1" applyAlignment="1"/>
    <xf numFmtId="167" fontId="85" fillId="0" borderId="4" xfId="2" applyNumberFormat="1" applyFont="1" applyBorder="1" applyAlignment="1"/>
    <xf numFmtId="167" fontId="85" fillId="44" borderId="4" xfId="2" applyNumberFormat="1" applyFont="1" applyFill="1" applyBorder="1" applyAlignment="1"/>
    <xf numFmtId="0" fontId="85" fillId="40" borderId="4" xfId="0" applyFont="1" applyFill="1" applyBorder="1" applyAlignment="1">
      <alignment horizontal="center" vertical="center"/>
    </xf>
    <xf numFmtId="9" fontId="85" fillId="0" borderId="4" xfId="2" applyNumberFormat="1" applyFont="1" applyBorder="1" applyAlignment="1"/>
    <xf numFmtId="0" fontId="89" fillId="41" borderId="4" xfId="0" applyFont="1" applyFill="1" applyBorder="1" applyAlignment="1">
      <alignment horizontal="center" textRotation="90"/>
    </xf>
    <xf numFmtId="0" fontId="85" fillId="42" borderId="4" xfId="0" applyFont="1" applyFill="1" applyBorder="1" applyAlignment="1"/>
    <xf numFmtId="0" fontId="85" fillId="7" borderId="4" xfId="0" applyFont="1" applyFill="1" applyBorder="1" applyAlignment="1"/>
    <xf numFmtId="0" fontId="85" fillId="0" borderId="0" xfId="0" applyFont="1" applyBorder="1"/>
    <xf numFmtId="9" fontId="90" fillId="0" borderId="0" xfId="2" applyNumberFormat="1" applyFont="1" applyBorder="1" applyAlignment="1"/>
    <xf numFmtId="9" fontId="90" fillId="44" borderId="0" xfId="2" applyNumberFormat="1" applyFont="1" applyFill="1" applyBorder="1" applyAlignment="1"/>
    <xf numFmtId="164" fontId="90" fillId="0" borderId="7" xfId="3" applyNumberFormat="1" applyFont="1" applyBorder="1" applyAlignment="1">
      <alignment horizontal="left"/>
    </xf>
    <xf numFmtId="0" fontId="90" fillId="41" borderId="0" xfId="0" applyFont="1" applyFill="1" applyBorder="1" applyAlignment="1">
      <alignment horizontal="center" textRotation="90"/>
    </xf>
    <xf numFmtId="0" fontId="90" fillId="42" borderId="0" xfId="0" applyFont="1" applyFill="1" applyBorder="1" applyAlignment="1"/>
    <xf numFmtId="164" fontId="90" fillId="0" borderId="17" xfId="3" applyNumberFormat="1" applyFont="1" applyBorder="1" applyAlignment="1">
      <alignment horizontal="left"/>
    </xf>
    <xf numFmtId="0" fontId="91" fillId="0" borderId="3" xfId="0" applyFont="1" applyBorder="1" applyAlignment="1">
      <alignment horizontal="right" vertical="center"/>
    </xf>
    <xf numFmtId="0" fontId="85" fillId="45" borderId="3" xfId="0" applyFont="1" applyFill="1" applyBorder="1"/>
    <xf numFmtId="164" fontId="89" fillId="0" borderId="114" xfId="0" applyNumberFormat="1" applyFont="1" applyBorder="1"/>
    <xf numFmtId="9" fontId="91" fillId="0" borderId="3" xfId="2" applyNumberFormat="1" applyFont="1" applyBorder="1" applyAlignment="1"/>
    <xf numFmtId="9" fontId="91" fillId="44" borderId="0" xfId="2" applyNumberFormat="1" applyFont="1" applyFill="1" applyBorder="1" applyAlignment="1"/>
    <xf numFmtId="164" fontId="89" fillId="0" borderId="114" xfId="3" applyNumberFormat="1" applyFont="1" applyBorder="1"/>
    <xf numFmtId="0" fontId="89" fillId="40" borderId="3" xfId="0" applyFont="1" applyFill="1" applyBorder="1" applyAlignment="1">
      <alignment horizontal="center" vertical="center"/>
    </xf>
    <xf numFmtId="164" fontId="91" fillId="0" borderId="114" xfId="3" applyNumberFormat="1" applyFont="1" applyBorder="1" applyAlignment="1">
      <alignment horizontal="left"/>
    </xf>
    <xf numFmtId="0" fontId="91" fillId="41" borderId="3" xfId="0" applyFont="1" applyFill="1" applyBorder="1" applyAlignment="1">
      <alignment horizontal="center" textRotation="90"/>
    </xf>
    <xf numFmtId="164" fontId="91" fillId="0" borderId="114" xfId="3" applyNumberFormat="1" applyFont="1" applyBorder="1" applyAlignment="1"/>
    <xf numFmtId="0" fontId="91" fillId="42" borderId="3" xfId="0" applyFont="1" applyFill="1" applyBorder="1" applyAlignment="1"/>
    <xf numFmtId="164" fontId="91" fillId="0" borderId="110" xfId="3" applyNumberFormat="1" applyFont="1" applyBorder="1" applyAlignment="1">
      <alignment horizontal="left"/>
    </xf>
    <xf numFmtId="0" fontId="90" fillId="0" borderId="4" xfId="0" applyFont="1" applyBorder="1" applyAlignment="1">
      <alignment vertical="center"/>
    </xf>
    <xf numFmtId="0" fontId="91" fillId="0" borderId="4" xfId="0" applyFont="1" applyBorder="1" applyAlignment="1">
      <alignment horizontal="right" vertical="center"/>
    </xf>
    <xf numFmtId="0" fontId="90" fillId="0" borderId="4" xfId="0" applyFont="1" applyBorder="1" applyAlignment="1"/>
    <xf numFmtId="0" fontId="90" fillId="44" borderId="0" xfId="0" applyFont="1" applyFill="1" applyBorder="1" applyAlignment="1"/>
    <xf numFmtId="165" fontId="91" fillId="0" borderId="4" xfId="1" applyNumberFormat="1" applyFont="1" applyBorder="1" applyAlignment="1">
      <alignment vertical="center"/>
    </xf>
    <xf numFmtId="0" fontId="90" fillId="0" borderId="10" xfId="0" applyFont="1" applyBorder="1" applyAlignment="1">
      <alignment horizontal="left" vertical="center"/>
    </xf>
    <xf numFmtId="164" fontId="91" fillId="0" borderId="41" xfId="3" applyNumberFormat="1" applyFont="1" applyBorder="1" applyAlignment="1">
      <alignment horizontal="right"/>
    </xf>
    <xf numFmtId="164" fontId="91" fillId="0" borderId="41" xfId="3" applyNumberFormat="1" applyFont="1" applyBorder="1" applyAlignment="1"/>
    <xf numFmtId="164" fontId="91" fillId="0" borderId="41" xfId="0" applyNumberFormat="1" applyFont="1" applyBorder="1" applyAlignment="1"/>
    <xf numFmtId="9" fontId="91" fillId="0" borderId="41" xfId="2" applyNumberFormat="1" applyFont="1" applyBorder="1" applyAlignment="1"/>
    <xf numFmtId="9" fontId="91" fillId="44" borderId="41" xfId="2" applyNumberFormat="1" applyFont="1" applyFill="1" applyBorder="1" applyAlignment="1"/>
    <xf numFmtId="0" fontId="85" fillId="40" borderId="41" xfId="0" applyFont="1" applyFill="1" applyBorder="1" applyAlignment="1">
      <alignment horizontal="center" vertical="center"/>
    </xf>
    <xf numFmtId="0" fontId="89" fillId="41" borderId="41" xfId="0" applyFont="1" applyFill="1" applyBorder="1" applyAlignment="1">
      <alignment horizontal="center" textRotation="90"/>
    </xf>
    <xf numFmtId="0" fontId="85" fillId="42" borderId="41" xfId="0" applyFont="1" applyFill="1" applyBorder="1" applyAlignment="1"/>
    <xf numFmtId="164" fontId="91" fillId="0" borderId="104" xfId="3" applyNumberFormat="1" applyFont="1" applyBorder="1" applyAlignment="1">
      <alignment horizontal="left"/>
    </xf>
    <xf numFmtId="9" fontId="90" fillId="0" borderId="118" xfId="2" applyFont="1" applyBorder="1" applyAlignment="1"/>
    <xf numFmtId="9" fontId="90" fillId="44" borderId="0" xfId="2" applyFont="1" applyFill="1" applyBorder="1" applyAlignment="1"/>
    <xf numFmtId="9" fontId="91" fillId="44" borderId="0" xfId="2" applyFont="1" applyFill="1" applyBorder="1" applyAlignment="1"/>
    <xf numFmtId="9" fontId="91" fillId="0" borderId="0" xfId="2" applyFont="1" applyBorder="1" applyAlignment="1"/>
    <xf numFmtId="0" fontId="90" fillId="0" borderId="125" xfId="0" applyFont="1" applyBorder="1" applyAlignment="1"/>
    <xf numFmtId="44" fontId="90" fillId="0" borderId="43" xfId="3" applyFont="1" applyBorder="1" applyAlignment="1">
      <alignment horizontal="left"/>
    </xf>
    <xf numFmtId="0" fontId="90" fillId="0" borderId="41" xfId="0" applyFont="1" applyBorder="1" applyAlignment="1"/>
    <xf numFmtId="44" fontId="90" fillId="0" borderId="7" xfId="3" applyNumberFormat="1" applyFont="1" applyBorder="1" applyAlignment="1">
      <alignment horizontal="left"/>
    </xf>
    <xf numFmtId="164" fontId="0" fillId="0" borderId="0" xfId="3" applyNumberFormat="1" applyFont="1" applyBorder="1"/>
    <xf numFmtId="43" fontId="85" fillId="0" borderId="7" xfId="1" applyFont="1" applyBorder="1" applyAlignment="1">
      <alignment horizontal="left"/>
    </xf>
    <xf numFmtId="0" fontId="85" fillId="0" borderId="0" xfId="0" applyFont="1" applyBorder="1" applyAlignment="1"/>
    <xf numFmtId="44" fontId="85" fillId="0" borderId="7" xfId="3" applyFont="1" applyBorder="1" applyAlignment="1">
      <alignment horizontal="left"/>
    </xf>
    <xf numFmtId="164" fontId="85" fillId="0" borderId="7" xfId="0" applyNumberFormat="1" applyFont="1" applyBorder="1" applyAlignment="1">
      <alignment horizontal="left"/>
    </xf>
    <xf numFmtId="9" fontId="85" fillId="0" borderId="0" xfId="0" applyNumberFormat="1" applyFont="1" applyBorder="1" applyAlignment="1"/>
    <xf numFmtId="164" fontId="91" fillId="0" borderId="41" xfId="0" applyNumberFormat="1" applyFont="1" applyBorder="1" applyAlignment="1">
      <alignment horizontal="left"/>
    </xf>
    <xf numFmtId="0" fontId="85" fillId="45" borderId="4" xfId="0" applyFont="1" applyFill="1" applyBorder="1"/>
    <xf numFmtId="0" fontId="85" fillId="45" borderId="41" xfId="0" applyFont="1" applyFill="1" applyBorder="1"/>
    <xf numFmtId="164" fontId="0" fillId="0" borderId="111" xfId="3" applyNumberFormat="1" applyFont="1" applyBorder="1"/>
    <xf numFmtId="164" fontId="0" fillId="0" borderId="17" xfId="3" applyNumberFormat="1" applyFont="1" applyBorder="1"/>
    <xf numFmtId="164" fontId="29" fillId="2" borderId="17" xfId="3" applyNumberFormat="1" applyFont="1" applyFill="1" applyBorder="1"/>
    <xf numFmtId="164" fontId="5" fillId="0" borderId="110" xfId="3" applyNumberFormat="1" applyFont="1" applyBorder="1"/>
    <xf numFmtId="164" fontId="0" fillId="0" borderId="10" xfId="3" applyNumberFormat="1" applyFont="1" applyBorder="1"/>
    <xf numFmtId="164" fontId="25" fillId="0" borderId="124" xfId="3" applyNumberFormat="1" applyFont="1" applyBorder="1" applyAlignment="1">
      <alignment horizontal="right" vertical="center" wrapText="1"/>
    </xf>
    <xf numFmtId="0" fontId="91" fillId="0" borderId="0" xfId="0" applyFont="1" applyBorder="1" applyAlignment="1">
      <alignment horizontal="right" vertical="top"/>
    </xf>
    <xf numFmtId="0" fontId="85" fillId="45" borderId="0" xfId="0" applyFont="1" applyFill="1" applyBorder="1" applyAlignment="1">
      <alignment vertical="top"/>
    </xf>
    <xf numFmtId="164" fontId="90" fillId="0" borderId="0" xfId="3" applyNumberFormat="1" applyFont="1" applyBorder="1" applyAlignment="1">
      <alignment horizontal="left" vertical="top"/>
    </xf>
    <xf numFmtId="9" fontId="91" fillId="0" borderId="5" xfId="2" applyNumberFormat="1" applyFont="1" applyBorder="1" applyAlignment="1">
      <alignment vertical="top"/>
    </xf>
    <xf numFmtId="9" fontId="91" fillId="44" borderId="0" xfId="2" applyFont="1" applyFill="1" applyBorder="1" applyAlignment="1">
      <alignment vertical="top"/>
    </xf>
    <xf numFmtId="164" fontId="91" fillId="0" borderId="7" xfId="3" applyNumberFormat="1" applyFont="1" applyBorder="1" applyAlignment="1">
      <alignment horizontal="left" vertical="top"/>
    </xf>
    <xf numFmtId="9" fontId="91" fillId="0" borderId="0" xfId="2" applyNumberFormat="1" applyFont="1" applyBorder="1" applyAlignment="1">
      <alignment vertical="top"/>
    </xf>
    <xf numFmtId="0" fontId="85" fillId="40" borderId="0" xfId="0" applyFont="1" applyFill="1" applyBorder="1" applyAlignment="1">
      <alignment horizontal="center" vertical="top"/>
    </xf>
    <xf numFmtId="164" fontId="89" fillId="0" borderId="7" xfId="3" applyNumberFormat="1" applyFont="1" applyBorder="1" applyAlignment="1">
      <alignment horizontal="left" vertical="top"/>
    </xf>
    <xf numFmtId="9" fontId="89" fillId="0" borderId="0" xfId="2" applyNumberFormat="1" applyFont="1" applyBorder="1" applyAlignment="1">
      <alignment vertical="top"/>
    </xf>
    <xf numFmtId="0" fontId="89" fillId="41" borderId="0" xfId="0" applyFont="1" applyFill="1" applyBorder="1" applyAlignment="1">
      <alignment horizontal="center" vertical="top" textRotation="90"/>
    </xf>
    <xf numFmtId="0" fontId="85" fillId="42" borderId="0" xfId="0" applyFont="1" applyFill="1" applyBorder="1" applyAlignment="1">
      <alignment vertical="top"/>
    </xf>
    <xf numFmtId="0" fontId="89" fillId="7" borderId="0" xfId="0" applyFont="1" applyFill="1" applyBorder="1" applyAlignment="1">
      <alignment vertical="top"/>
    </xf>
    <xf numFmtId="164" fontId="89" fillId="0" borderId="17" xfId="3" applyNumberFormat="1" applyFont="1" applyBorder="1" applyAlignment="1">
      <alignment horizontal="left" vertical="top"/>
    </xf>
    <xf numFmtId="164" fontId="85" fillId="0" borderId="0" xfId="3" applyNumberFormat="1" applyFont="1" applyBorder="1" applyAlignment="1">
      <alignment horizontal="left" vertical="top"/>
    </xf>
    <xf numFmtId="9" fontId="89" fillId="0" borderId="5" xfId="2" applyFont="1" applyBorder="1" applyAlignment="1">
      <alignment vertical="top"/>
    </xf>
    <xf numFmtId="9" fontId="85" fillId="44" borderId="0" xfId="2" applyFont="1" applyFill="1" applyBorder="1" applyAlignment="1">
      <alignment vertical="top"/>
    </xf>
    <xf numFmtId="164" fontId="85" fillId="0" borderId="7" xfId="3" applyNumberFormat="1" applyFont="1" applyBorder="1" applyAlignment="1">
      <alignment horizontal="left" vertical="top"/>
    </xf>
    <xf numFmtId="9" fontId="89" fillId="0" borderId="0" xfId="2" applyFont="1" applyBorder="1" applyAlignment="1">
      <alignment vertical="top"/>
    </xf>
    <xf numFmtId="0" fontId="85" fillId="7" borderId="0" xfId="0" applyFont="1" applyFill="1" applyBorder="1" applyAlignment="1">
      <alignment vertical="top"/>
    </xf>
    <xf numFmtId="164" fontId="91" fillId="0" borderId="0" xfId="3" applyNumberFormat="1" applyFont="1" applyBorder="1" applyAlignment="1">
      <alignment horizontal="left" vertical="top"/>
    </xf>
    <xf numFmtId="9" fontId="91" fillId="0" borderId="5" xfId="2" applyFont="1" applyBorder="1" applyAlignment="1">
      <alignment vertical="top"/>
    </xf>
    <xf numFmtId="9" fontId="91" fillId="0" borderId="0" xfId="2" applyFont="1" applyBorder="1" applyAlignment="1">
      <alignment vertical="top"/>
    </xf>
    <xf numFmtId="9" fontId="89" fillId="44" borderId="0" xfId="2" applyFont="1" applyFill="1" applyBorder="1" applyAlignment="1">
      <alignment vertical="top"/>
    </xf>
    <xf numFmtId="0" fontId="89" fillId="40" borderId="0" xfId="0" applyFont="1" applyFill="1" applyBorder="1" applyAlignment="1">
      <alignment horizontal="center" vertical="top"/>
    </xf>
    <xf numFmtId="0" fontId="89" fillId="42" borderId="0" xfId="0" applyFont="1" applyFill="1" applyBorder="1" applyAlignment="1">
      <alignment vertical="top"/>
    </xf>
    <xf numFmtId="10" fontId="34" fillId="0" borderId="3" xfId="2" applyNumberFormat="1" applyFont="1" applyBorder="1"/>
    <xf numFmtId="165" fontId="33" fillId="0" borderId="100" xfId="1" applyNumberFormat="1" applyFont="1" applyFill="1" applyBorder="1" applyAlignment="1" applyProtection="1">
      <alignment horizontal="center" vertical="center" wrapText="1"/>
      <protection locked="0"/>
    </xf>
    <xf numFmtId="43" fontId="29" fillId="0" borderId="0" xfId="1" applyFont="1" applyFill="1" applyProtection="1">
      <protection locked="0"/>
    </xf>
    <xf numFmtId="0" fontId="74" fillId="0" borderId="0" xfId="0" applyFont="1" applyAlignment="1">
      <alignment horizontal="left" vertical="center" wrapText="1"/>
    </xf>
    <xf numFmtId="164" fontId="69" fillId="0" borderId="0" xfId="3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0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textRotation="90"/>
    </xf>
    <xf numFmtId="0" fontId="0" fillId="46" borderId="0" xfId="0" applyFill="1"/>
    <xf numFmtId="0" fontId="72" fillId="46" borderId="0" xfId="0" applyFont="1" applyFill="1"/>
    <xf numFmtId="0" fontId="0" fillId="47" borderId="0" xfId="0" applyFill="1"/>
    <xf numFmtId="0" fontId="0" fillId="48" borderId="0" xfId="0" applyFill="1"/>
    <xf numFmtId="0" fontId="22" fillId="47" borderId="0" xfId="0" applyFont="1" applyFill="1" applyAlignment="1">
      <alignment horizontal="center" textRotation="90"/>
    </xf>
    <xf numFmtId="0" fontId="24" fillId="46" borderId="4" xfId="0" applyFont="1" applyFill="1" applyBorder="1" applyAlignment="1">
      <alignment horizontal="center" vertical="center"/>
    </xf>
    <xf numFmtId="0" fontId="0" fillId="47" borderId="4" xfId="0" applyFill="1" applyBorder="1"/>
    <xf numFmtId="164" fontId="0" fillId="0" borderId="127" xfId="3" applyNumberFormat="1" applyFont="1" applyBorder="1"/>
    <xf numFmtId="0" fontId="77" fillId="46" borderId="0" xfId="234" applyFont="1" applyFill="1" applyAlignment="1">
      <alignment vertical="center" wrapText="1"/>
    </xf>
    <xf numFmtId="0" fontId="91" fillId="47" borderId="0" xfId="234" applyFont="1" applyFill="1" applyAlignment="1">
      <alignment vertical="center" wrapText="1"/>
    </xf>
    <xf numFmtId="0" fontId="87" fillId="46" borderId="0" xfId="0" applyFont="1" applyFill="1" applyAlignment="1">
      <alignment horizontal="center" vertical="center"/>
    </xf>
    <xf numFmtId="0" fontId="8" fillId="47" borderId="0" xfId="0" applyFont="1" applyFill="1" applyAlignment="1">
      <alignment horizontal="center" textRotation="90"/>
    </xf>
    <xf numFmtId="0" fontId="87" fillId="48" borderId="0" xfId="0" applyFont="1" applyFill="1"/>
    <xf numFmtId="0" fontId="77" fillId="46" borderId="3" xfId="234" applyFont="1" applyFill="1" applyBorder="1" applyAlignment="1">
      <alignment vertical="center" wrapText="1"/>
    </xf>
    <xf numFmtId="10" fontId="8" fillId="0" borderId="110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47" borderId="3" xfId="0" applyFont="1" applyFill="1" applyBorder="1" applyAlignment="1">
      <alignment horizontal="center" wrapText="1"/>
    </xf>
    <xf numFmtId="164" fontId="8" fillId="0" borderId="110" xfId="3" applyNumberFormat="1" applyFont="1" applyBorder="1" applyAlignment="1">
      <alignment horizontal="center" wrapText="1"/>
    </xf>
    <xf numFmtId="0" fontId="87" fillId="46" borderId="3" xfId="0" applyFont="1" applyFill="1" applyBorder="1" applyAlignment="1">
      <alignment horizontal="center" vertical="center"/>
    </xf>
    <xf numFmtId="10" fontId="8" fillId="0" borderId="110" xfId="0" applyNumberFormat="1" applyFont="1" applyBorder="1" applyAlignment="1">
      <alignment horizontal="center"/>
    </xf>
    <xf numFmtId="0" fontId="8" fillId="47" borderId="3" xfId="0" applyFont="1" applyFill="1" applyBorder="1" applyAlignment="1">
      <alignment horizontal="center" textRotation="90"/>
    </xf>
    <xf numFmtId="0" fontId="87" fillId="48" borderId="3" xfId="0" applyFont="1" applyFill="1" applyBorder="1"/>
    <xf numFmtId="0" fontId="87" fillId="7" borderId="3" xfId="0" applyFont="1" applyFill="1" applyBorder="1" applyAlignment="1">
      <alignment horizontal="center" vertical="center"/>
    </xf>
    <xf numFmtId="0" fontId="8" fillId="46" borderId="0" xfId="0" applyFont="1" applyFill="1" applyAlignment="1">
      <alignment horizontal="center" vertical="center"/>
    </xf>
    <xf numFmtId="10" fontId="5" fillId="0" borderId="0" xfId="0" applyNumberFormat="1" applyFont="1" applyAlignment="1">
      <alignment horizontal="center" wrapText="1"/>
    </xf>
    <xf numFmtId="0" fontId="5" fillId="47" borderId="0" xfId="0" applyFont="1" applyFill="1" applyAlignment="1">
      <alignment horizontal="center" wrapText="1"/>
    </xf>
    <xf numFmtId="0" fontId="0" fillId="46" borderId="0" xfId="0" applyFill="1" applyAlignment="1">
      <alignment horizontal="center" vertical="center"/>
    </xf>
    <xf numFmtId="0" fontId="85" fillId="0" borderId="0" xfId="0" applyFont="1" applyAlignment="1">
      <alignment vertical="center"/>
    </xf>
    <xf numFmtId="0" fontId="85" fillId="46" borderId="0" xfId="0" applyFont="1" applyFill="1" applyAlignment="1">
      <alignment vertical="center"/>
    </xf>
    <xf numFmtId="10" fontId="86" fillId="0" borderId="0" xfId="2" applyNumberFormat="1" applyFont="1" applyAlignment="1">
      <alignment horizontal="center" vertical="center"/>
    </xf>
    <xf numFmtId="0" fontId="87" fillId="0" borderId="0" xfId="0" applyFont="1"/>
    <xf numFmtId="0" fontId="87" fillId="47" borderId="0" xfId="0" applyFont="1" applyFill="1"/>
    <xf numFmtId="0" fontId="87" fillId="7" borderId="0" xfId="0" applyFont="1" applyFill="1"/>
    <xf numFmtId="10" fontId="86" fillId="0" borderId="0" xfId="2" applyNumberFormat="1" applyFont="1" applyAlignment="1">
      <alignment horizontal="left" vertical="center"/>
    </xf>
    <xf numFmtId="0" fontId="93" fillId="0" borderId="0" xfId="0" applyFont="1" applyAlignment="1">
      <alignment vertical="center"/>
    </xf>
    <xf numFmtId="43" fontId="85" fillId="0" borderId="0" xfId="1" applyFont="1"/>
    <xf numFmtId="0" fontId="85" fillId="0" borderId="0" xfId="0" applyFont="1"/>
    <xf numFmtId="0" fontId="85" fillId="47" borderId="0" xfId="0" applyFont="1" applyFill="1"/>
    <xf numFmtId="41" fontId="85" fillId="0" borderId="0" xfId="3" applyNumberFormat="1" applyFont="1"/>
    <xf numFmtId="0" fontId="85" fillId="46" borderId="0" xfId="0" applyFont="1" applyFill="1" applyAlignment="1">
      <alignment horizontal="center" vertical="center"/>
    </xf>
    <xf numFmtId="0" fontId="89" fillId="47" borderId="0" xfId="0" applyFont="1" applyFill="1" applyAlignment="1">
      <alignment horizontal="center" textRotation="90"/>
    </xf>
    <xf numFmtId="0" fontId="85" fillId="48" borderId="0" xfId="0" applyFont="1" applyFill="1"/>
    <xf numFmtId="44" fontId="85" fillId="0" borderId="0" xfId="3" applyFont="1"/>
    <xf numFmtId="0" fontId="85" fillId="7" borderId="0" xfId="0" applyFont="1" applyFill="1"/>
    <xf numFmtId="44" fontId="85" fillId="0" borderId="0" xfId="3" applyFont="1" applyAlignment="1">
      <alignment horizontal="left"/>
    </xf>
    <xf numFmtId="164" fontId="85" fillId="0" borderId="0" xfId="3" applyNumberFormat="1" applyFont="1" applyAlignment="1">
      <alignment horizontal="left" vertical="center"/>
    </xf>
    <xf numFmtId="9" fontId="85" fillId="0" borderId="0" xfId="2" applyFont="1"/>
    <xf numFmtId="9" fontId="85" fillId="47" borderId="0" xfId="2" applyFont="1" applyFill="1"/>
    <xf numFmtId="0" fontId="85" fillId="47" borderId="0" xfId="0" applyFont="1" applyFill="1" applyAlignment="1">
      <alignment horizontal="center" textRotation="90"/>
    </xf>
    <xf numFmtId="0" fontId="91" fillId="0" borderId="0" xfId="0" applyFont="1" applyAlignment="1">
      <alignment horizontal="right" vertical="top"/>
    </xf>
    <xf numFmtId="0" fontId="85" fillId="46" borderId="0" xfId="0" applyFont="1" applyFill="1" applyAlignment="1">
      <alignment vertical="top"/>
    </xf>
    <xf numFmtId="164" fontId="85" fillId="0" borderId="0" xfId="3" applyNumberFormat="1" applyFont="1" applyAlignment="1">
      <alignment horizontal="left" vertical="top"/>
    </xf>
    <xf numFmtId="9" fontId="89" fillId="0" borderId="0" xfId="2" applyFont="1" applyAlignment="1">
      <alignment vertical="top"/>
    </xf>
    <xf numFmtId="9" fontId="85" fillId="47" borderId="0" xfId="2" applyFont="1" applyFill="1" applyAlignment="1">
      <alignment vertical="top"/>
    </xf>
    <xf numFmtId="0" fontId="85" fillId="46" borderId="0" xfId="0" applyFont="1" applyFill="1" applyAlignment="1">
      <alignment horizontal="center" vertical="top"/>
    </xf>
    <xf numFmtId="164" fontId="89" fillId="0" borderId="0" xfId="3" applyNumberFormat="1" applyFont="1" applyAlignment="1">
      <alignment horizontal="left" vertical="top"/>
    </xf>
    <xf numFmtId="0" fontId="89" fillId="47" borderId="0" xfId="0" applyFont="1" applyFill="1" applyAlignment="1">
      <alignment horizontal="center" vertical="top" textRotation="90"/>
    </xf>
    <xf numFmtId="0" fontId="85" fillId="48" borderId="0" xfId="0" applyFont="1" applyFill="1" applyAlignment="1">
      <alignment vertical="top"/>
    </xf>
    <xf numFmtId="0" fontId="85" fillId="7" borderId="0" xfId="0" applyFont="1" applyFill="1" applyAlignment="1">
      <alignment vertical="top"/>
    </xf>
    <xf numFmtId="0" fontId="91" fillId="0" borderId="0" xfId="0" applyFont="1" applyAlignment="1">
      <alignment horizontal="right" vertical="center"/>
    </xf>
    <xf numFmtId="164" fontId="89" fillId="0" borderId="0" xfId="3" applyNumberFormat="1" applyFont="1" applyAlignment="1">
      <alignment horizontal="left" vertical="center"/>
    </xf>
    <xf numFmtId="9" fontId="89" fillId="0" borderId="0" xfId="2" applyFont="1"/>
    <xf numFmtId="0" fontId="89" fillId="0" borderId="0" xfId="0" applyFont="1" applyAlignment="1">
      <alignment vertical="center"/>
    </xf>
    <xf numFmtId="43" fontId="85" fillId="0" borderId="0" xfId="1" applyFont="1" applyAlignment="1">
      <alignment horizontal="left"/>
    </xf>
    <xf numFmtId="164" fontId="85" fillId="0" borderId="0" xfId="0" applyNumberFormat="1" applyFont="1" applyAlignment="1">
      <alignment horizontal="left"/>
    </xf>
    <xf numFmtId="9" fontId="85" fillId="0" borderId="0" xfId="0" applyNumberFormat="1" applyFont="1"/>
    <xf numFmtId="0" fontId="85" fillId="0" borderId="0" xfId="0" applyFont="1" applyAlignment="1">
      <alignment horizontal="left"/>
    </xf>
    <xf numFmtId="9" fontId="90" fillId="0" borderId="0" xfId="2" applyFont="1"/>
    <xf numFmtId="9" fontId="90" fillId="47" borderId="0" xfId="2" applyFont="1" applyFill="1"/>
    <xf numFmtId="164" fontId="90" fillId="0" borderId="0" xfId="3" applyNumberFormat="1" applyFont="1" applyAlignment="1">
      <alignment horizontal="left"/>
    </xf>
    <xf numFmtId="164" fontId="90" fillId="0" borderId="0" xfId="3" applyNumberFormat="1" applyFont="1" applyAlignment="1">
      <alignment horizontal="left" vertical="top"/>
    </xf>
    <xf numFmtId="9" fontId="91" fillId="0" borderId="0" xfId="2" applyFont="1" applyAlignment="1">
      <alignment vertical="top"/>
    </xf>
    <xf numFmtId="9" fontId="91" fillId="47" borderId="0" xfId="2" applyFont="1" applyFill="1" applyAlignment="1">
      <alignment vertical="top"/>
    </xf>
    <xf numFmtId="164" fontId="91" fillId="0" borderId="0" xfId="3" applyNumberFormat="1" applyFont="1" applyAlignment="1">
      <alignment horizontal="left" vertical="top"/>
    </xf>
    <xf numFmtId="0" fontId="89" fillId="7" borderId="0" xfId="0" applyFont="1" applyFill="1" applyAlignment="1">
      <alignment vertical="top"/>
    </xf>
    <xf numFmtId="0" fontId="85" fillId="46" borderId="0" xfId="0" applyFont="1" applyFill="1"/>
    <xf numFmtId="164" fontId="90" fillId="0" borderId="0" xfId="3" applyNumberFormat="1" applyFont="1" applyAlignment="1">
      <alignment horizontal="left" vertical="center"/>
    </xf>
    <xf numFmtId="9" fontId="91" fillId="0" borderId="0" xfId="2" applyFont="1"/>
    <xf numFmtId="9" fontId="91" fillId="47" borderId="0" xfId="2" applyFont="1" applyFill="1"/>
    <xf numFmtId="164" fontId="91" fillId="0" borderId="0" xfId="3" applyNumberFormat="1" applyFont="1" applyAlignment="1">
      <alignment horizontal="left" vertical="center"/>
    </xf>
    <xf numFmtId="164" fontId="89" fillId="0" borderId="0" xfId="3" applyNumberFormat="1" applyFont="1" applyAlignment="1">
      <alignment horizontal="left"/>
    </xf>
    <xf numFmtId="0" fontId="89" fillId="7" borderId="0" xfId="0" applyFont="1" applyFill="1" applyAlignment="1">
      <alignment vertical="center"/>
    </xf>
    <xf numFmtId="0" fontId="90" fillId="0" borderId="0" xfId="0" applyFont="1"/>
    <xf numFmtId="0" fontId="90" fillId="47" borderId="0" xfId="0" applyFont="1" applyFill="1"/>
    <xf numFmtId="44" fontId="90" fillId="0" borderId="0" xfId="3" applyFont="1" applyAlignment="1">
      <alignment horizontal="left"/>
    </xf>
    <xf numFmtId="0" fontId="93" fillId="0" borderId="3" xfId="0" applyFont="1" applyBorder="1" applyAlignment="1">
      <alignment vertical="center"/>
    </xf>
    <xf numFmtId="0" fontId="0" fillId="0" borderId="3" xfId="0" applyBorder="1"/>
    <xf numFmtId="164" fontId="0" fillId="0" borderId="3" xfId="3" applyNumberFormat="1" applyFont="1" applyBorder="1"/>
    <xf numFmtId="0" fontId="90" fillId="47" borderId="0" xfId="0" applyFont="1" applyFill="1" applyAlignment="1">
      <alignment horizontal="center" textRotation="90"/>
    </xf>
    <xf numFmtId="0" fontId="90" fillId="48" borderId="0" xfId="0" applyFont="1" applyFill="1"/>
    <xf numFmtId="0" fontId="90" fillId="7" borderId="0" xfId="0" applyFont="1" applyFill="1"/>
    <xf numFmtId="9" fontId="89" fillId="47" borderId="0" xfId="2" applyFont="1" applyFill="1" applyAlignment="1">
      <alignment vertical="top"/>
    </xf>
    <xf numFmtId="164" fontId="89" fillId="0" borderId="0" xfId="0" applyNumberFormat="1" applyFont="1"/>
    <xf numFmtId="164" fontId="89" fillId="0" borderId="0" xfId="3" applyNumberFormat="1" applyFont="1"/>
    <xf numFmtId="0" fontId="89" fillId="46" borderId="0" xfId="0" applyFont="1" applyFill="1" applyAlignment="1">
      <alignment horizontal="center" vertical="center"/>
    </xf>
    <xf numFmtId="164" fontId="91" fillId="0" borderId="0" xfId="3" applyNumberFormat="1" applyFont="1" applyAlignment="1">
      <alignment horizontal="left"/>
    </xf>
    <xf numFmtId="0" fontId="91" fillId="47" borderId="0" xfId="0" applyFont="1" applyFill="1" applyAlignment="1">
      <alignment horizontal="center" textRotation="90"/>
    </xf>
    <xf numFmtId="164" fontId="91" fillId="0" borderId="0" xfId="3" applyNumberFormat="1" applyFont="1"/>
    <xf numFmtId="0" fontId="91" fillId="48" borderId="0" xfId="0" applyFont="1" applyFill="1"/>
    <xf numFmtId="0" fontId="91" fillId="7" borderId="0" xfId="0" applyFont="1" applyFill="1"/>
    <xf numFmtId="0" fontId="84" fillId="0" borderId="0" xfId="0" applyFont="1" applyAlignment="1">
      <alignment vertical="center" textRotation="90" wrapText="1"/>
    </xf>
    <xf numFmtId="0" fontId="90" fillId="0" borderId="0" xfId="0" applyFont="1" applyAlignment="1">
      <alignment vertical="center"/>
    </xf>
    <xf numFmtId="165" fontId="91" fillId="0" borderId="0" xfId="1" applyNumberFormat="1" applyFont="1" applyAlignment="1">
      <alignment vertical="center"/>
    </xf>
    <xf numFmtId="0" fontId="90" fillId="0" borderId="17" xfId="0" applyFont="1" applyBorder="1" applyAlignment="1">
      <alignment horizontal="left" vertical="center"/>
    </xf>
    <xf numFmtId="0" fontId="83" fillId="0" borderId="0" xfId="0" applyFont="1"/>
    <xf numFmtId="0" fontId="85" fillId="46" borderId="41" xfId="0" applyFont="1" applyFill="1" applyBorder="1"/>
    <xf numFmtId="9" fontId="91" fillId="0" borderId="41" xfId="2" applyFont="1" applyBorder="1"/>
    <xf numFmtId="9" fontId="91" fillId="47" borderId="41" xfId="2" applyFont="1" applyFill="1" applyBorder="1"/>
    <xf numFmtId="164" fontId="91" fillId="0" borderId="41" xfId="0" applyNumberFormat="1" applyFont="1" applyBorder="1"/>
    <xf numFmtId="0" fontId="85" fillId="46" borderId="41" xfId="0" applyFont="1" applyFill="1" applyBorder="1" applyAlignment="1">
      <alignment horizontal="center" vertical="center"/>
    </xf>
    <xf numFmtId="164" fontId="91" fillId="0" borderId="41" xfId="3" applyNumberFormat="1" applyFont="1" applyBorder="1"/>
    <xf numFmtId="0" fontId="89" fillId="47" borderId="41" xfId="0" applyFont="1" applyFill="1" applyBorder="1" applyAlignment="1">
      <alignment horizontal="center" textRotation="90"/>
    </xf>
    <xf numFmtId="0" fontId="85" fillId="48" borderId="41" xfId="0" applyFont="1" applyFill="1" applyBorder="1"/>
    <xf numFmtId="0" fontId="85" fillId="7" borderId="41" xfId="0" applyFont="1" applyFill="1" applyBorder="1"/>
    <xf numFmtId="9" fontId="34" fillId="0" borderId="0" xfId="2" applyFont="1"/>
    <xf numFmtId="164" fontId="91" fillId="46" borderId="4" xfId="3" applyNumberFormat="1" applyFont="1" applyFill="1" applyBorder="1"/>
    <xf numFmtId="167" fontId="85" fillId="0" borderId="4" xfId="2" applyNumberFormat="1" applyFont="1" applyBorder="1"/>
    <xf numFmtId="167" fontId="85" fillId="47" borderId="4" xfId="2" applyNumberFormat="1" applyFont="1" applyFill="1" applyBorder="1"/>
    <xf numFmtId="0" fontId="85" fillId="46" borderId="4" xfId="0" applyFont="1" applyFill="1" applyBorder="1" applyAlignment="1">
      <alignment horizontal="center" vertical="center"/>
    </xf>
    <xf numFmtId="9" fontId="85" fillId="0" borderId="4" xfId="2" applyFont="1" applyBorder="1"/>
    <xf numFmtId="0" fontId="89" fillId="47" borderId="4" xfId="0" applyFont="1" applyFill="1" applyBorder="1" applyAlignment="1">
      <alignment horizontal="center" textRotation="90"/>
    </xf>
    <xf numFmtId="0" fontId="85" fillId="48" borderId="4" xfId="0" applyFont="1" applyFill="1" applyBorder="1"/>
    <xf numFmtId="0" fontId="85" fillId="7" borderId="4" xfId="0" applyFont="1" applyFill="1" applyBorder="1"/>
    <xf numFmtId="0" fontId="93" fillId="0" borderId="1" xfId="0" applyFont="1" applyBorder="1" applyAlignment="1">
      <alignment vertical="center"/>
    </xf>
    <xf numFmtId="0" fontId="85" fillId="0" borderId="41" xfId="0" applyFont="1" applyBorder="1"/>
    <xf numFmtId="9" fontId="85" fillId="0" borderId="41" xfId="0" applyNumberFormat="1" applyFont="1" applyBorder="1"/>
    <xf numFmtId="0" fontId="89" fillId="46" borderId="0" xfId="0" applyFont="1" applyFill="1" applyAlignment="1">
      <alignment horizontal="center" vertical="top"/>
    </xf>
    <xf numFmtId="0" fontId="89" fillId="48" borderId="0" xfId="0" applyFont="1" applyFill="1" applyAlignment="1">
      <alignment vertical="top"/>
    </xf>
    <xf numFmtId="0" fontId="85" fillId="46" borderId="3" xfId="0" applyFont="1" applyFill="1" applyBorder="1"/>
    <xf numFmtId="9" fontId="91" fillId="0" borderId="3" xfId="2" applyFont="1" applyBorder="1"/>
    <xf numFmtId="0" fontId="89" fillId="46" borderId="3" xfId="0" applyFont="1" applyFill="1" applyBorder="1" applyAlignment="1">
      <alignment horizontal="center" vertical="center"/>
    </xf>
    <xf numFmtId="0" fontId="91" fillId="47" borderId="3" xfId="0" applyFont="1" applyFill="1" applyBorder="1" applyAlignment="1">
      <alignment horizontal="center" textRotation="90"/>
    </xf>
    <xf numFmtId="164" fontId="91" fillId="0" borderId="114" xfId="3" applyNumberFormat="1" applyFont="1" applyBorder="1"/>
    <xf numFmtId="0" fontId="91" fillId="48" borderId="3" xfId="0" applyFont="1" applyFill="1" applyBorder="1"/>
    <xf numFmtId="0" fontId="91" fillId="7" borderId="3" xfId="0" applyFont="1" applyFill="1" applyBorder="1"/>
    <xf numFmtId="0" fontId="85" fillId="46" borderId="4" xfId="0" applyFont="1" applyFill="1" applyBorder="1"/>
    <xf numFmtId="0" fontId="90" fillId="0" borderId="4" xfId="0" applyFont="1" applyBorder="1"/>
    <xf numFmtId="0" fontId="90" fillId="7" borderId="4" xfId="0" applyFont="1" applyFill="1" applyBorder="1"/>
    <xf numFmtId="0" fontId="8" fillId="0" borderId="0" xfId="0" applyFont="1" applyAlignment="1">
      <alignment horizontal="center" textRotation="90"/>
    </xf>
    <xf numFmtId="174" fontId="85" fillId="0" borderId="0" xfId="3" applyNumberFormat="1" applyFont="1" applyAlignment="1">
      <alignment horizontal="left" vertical="center"/>
    </xf>
    <xf numFmtId="0" fontId="94" fillId="0" borderId="0" xfId="236" applyFont="1"/>
    <xf numFmtId="0" fontId="96" fillId="0" borderId="0" xfId="236" applyFont="1" applyAlignment="1">
      <alignment horizontal="center" wrapText="1"/>
    </xf>
    <xf numFmtId="43" fontId="94" fillId="0" borderId="0" xfId="60" applyFont="1"/>
    <xf numFmtId="0" fontId="98" fillId="0" borderId="0" xfId="236" applyFont="1"/>
    <xf numFmtId="0" fontId="99" fillId="0" borderId="0" xfId="236" applyFont="1"/>
    <xf numFmtId="164" fontId="98" fillId="0" borderId="0" xfId="237" applyNumberFormat="1" applyFont="1"/>
    <xf numFmtId="43" fontId="98" fillId="0" borderId="0" xfId="60" applyFont="1"/>
    <xf numFmtId="0" fontId="98" fillId="50" borderId="0" xfId="236" applyFont="1" applyFill="1"/>
    <xf numFmtId="0" fontId="99" fillId="50" borderId="0" xfId="236" applyFont="1" applyFill="1"/>
    <xf numFmtId="164" fontId="98" fillId="50" borderId="0" xfId="237" applyNumberFormat="1" applyFont="1" applyFill="1"/>
    <xf numFmtId="0" fontId="98" fillId="0" borderId="130" xfId="236" applyFont="1" applyBorder="1"/>
    <xf numFmtId="0" fontId="98" fillId="0" borderId="131" xfId="236" applyFont="1" applyBorder="1"/>
    <xf numFmtId="164" fontId="99" fillId="0" borderId="132" xfId="237" applyNumberFormat="1" applyFont="1" applyBorder="1" applyAlignment="1">
      <alignment horizontal="center"/>
    </xf>
    <xf numFmtId="164" fontId="99" fillId="0" borderId="133" xfId="237" applyNumberFormat="1" applyFont="1" applyBorder="1" applyAlignment="1">
      <alignment horizontal="center"/>
    </xf>
    <xf numFmtId="164" fontId="99" fillId="50" borderId="0" xfId="237" applyNumberFormat="1" applyFont="1" applyFill="1" applyAlignment="1">
      <alignment horizontal="center"/>
    </xf>
    <xf numFmtId="0" fontId="99" fillId="0" borderId="3" xfId="236" applyFont="1" applyBorder="1" applyAlignment="1">
      <alignment horizontal="center"/>
    </xf>
    <xf numFmtId="43" fontId="99" fillId="0" borderId="3" xfId="60" applyFont="1" applyBorder="1" applyAlignment="1">
      <alignment horizontal="center"/>
    </xf>
    <xf numFmtId="0" fontId="99" fillId="0" borderId="134" xfId="236" applyFont="1" applyBorder="1"/>
    <xf numFmtId="164" fontId="100" fillId="0" borderId="0" xfId="237" applyNumberFormat="1" applyFont="1"/>
    <xf numFmtId="164" fontId="98" fillId="0" borderId="135" xfId="237" applyNumberFormat="1" applyFont="1" applyBorder="1"/>
    <xf numFmtId="43" fontId="99" fillId="0" borderId="0" xfId="60" applyFont="1"/>
    <xf numFmtId="10" fontId="98" fillId="0" borderId="0" xfId="238" applyNumberFormat="1" applyFont="1"/>
    <xf numFmtId="43" fontId="98" fillId="0" borderId="0" xfId="236" applyNumberFormat="1" applyFont="1"/>
    <xf numFmtId="9" fontId="60" fillId="0" borderId="0" xfId="228"/>
    <xf numFmtId="2" fontId="98" fillId="0" borderId="0" xfId="236" applyNumberFormat="1" applyFont="1"/>
    <xf numFmtId="0" fontId="98" fillId="0" borderId="134" xfId="236" applyFont="1" applyBorder="1" applyAlignment="1">
      <alignment horizontal="left" indent="1"/>
    </xf>
    <xf numFmtId="0" fontId="98" fillId="0" borderId="0" xfId="236" applyFont="1" applyAlignment="1">
      <alignment horizontal="left" indent="1"/>
    </xf>
    <xf numFmtId="164" fontId="98" fillId="0" borderId="136" xfId="237" applyNumberFormat="1" applyFont="1" applyBorder="1"/>
    <xf numFmtId="0" fontId="99" fillId="0" borderId="137" xfId="236" applyFont="1" applyBorder="1"/>
    <xf numFmtId="43" fontId="99" fillId="0" borderId="137" xfId="60" applyFont="1" applyBorder="1"/>
    <xf numFmtId="37" fontId="60" fillId="0" borderId="0" xfId="239"/>
    <xf numFmtId="9" fontId="98" fillId="0" borderId="0" xfId="236" applyNumberFormat="1" applyFont="1" applyAlignment="1">
      <alignment horizontal="left" indent="1"/>
    </xf>
    <xf numFmtId="0" fontId="101" fillId="0" borderId="0" xfId="236" applyFont="1"/>
    <xf numFmtId="10" fontId="98" fillId="0" borderId="0" xfId="236" applyNumberFormat="1" applyFont="1" applyAlignment="1">
      <alignment horizontal="left" indent="1"/>
    </xf>
    <xf numFmtId="44" fontId="102" fillId="0" borderId="0" xfId="237" applyFont="1"/>
    <xf numFmtId="43" fontId="103" fillId="0" borderId="0" xfId="60" applyFont="1"/>
    <xf numFmtId="44" fontId="103" fillId="0" borderId="0" xfId="237" applyFont="1"/>
    <xf numFmtId="0" fontId="98" fillId="0" borderId="134" xfId="236" applyFont="1" applyBorder="1" applyAlignment="1">
      <alignment horizontal="left" wrapText="1" indent="1"/>
    </xf>
    <xf numFmtId="0" fontId="98" fillId="0" borderId="134" xfId="236" applyFont="1" applyBorder="1" applyAlignment="1">
      <alignment horizontal="left" indent="2"/>
    </xf>
    <xf numFmtId="0" fontId="103" fillId="50" borderId="0" xfId="236" applyFont="1" applyFill="1"/>
    <xf numFmtId="164" fontId="99" fillId="0" borderId="137" xfId="237" applyNumberFormat="1" applyFont="1" applyBorder="1"/>
    <xf numFmtId="164" fontId="99" fillId="51" borderId="138" xfId="237" applyNumberFormat="1" applyFont="1" applyFill="1" applyBorder="1"/>
    <xf numFmtId="164" fontId="99" fillId="50" borderId="0" xfId="237" applyNumberFormat="1" applyFont="1" applyFill="1"/>
    <xf numFmtId="0" fontId="103" fillId="0" borderId="0" xfId="236" applyFont="1"/>
    <xf numFmtId="0" fontId="103" fillId="0" borderId="134" xfId="236" applyFont="1" applyBorder="1"/>
    <xf numFmtId="10" fontId="103" fillId="0" borderId="0" xfId="238" applyNumberFormat="1" applyFont="1"/>
    <xf numFmtId="9" fontId="103" fillId="0" borderId="135" xfId="238" applyFont="1" applyBorder="1"/>
    <xf numFmtId="9" fontId="103" fillId="50" borderId="0" xfId="238" applyFont="1" applyFill="1"/>
    <xf numFmtId="0" fontId="99" fillId="0" borderId="3" xfId="236" applyFont="1" applyBorder="1"/>
    <xf numFmtId="0" fontId="98" fillId="0" borderId="0" xfId="236" applyFont="1" applyAlignment="1">
      <alignment horizontal="left" indent="2"/>
    </xf>
    <xf numFmtId="0" fontId="99" fillId="0" borderId="139" xfId="236" applyFont="1" applyBorder="1" applyAlignment="1">
      <alignment horizontal="left" indent="2"/>
    </xf>
    <xf numFmtId="0" fontId="99" fillId="0" borderId="136" xfId="236" applyFont="1" applyBorder="1" applyAlignment="1">
      <alignment horizontal="left" indent="2"/>
    </xf>
    <xf numFmtId="164" fontId="99" fillId="0" borderId="136" xfId="237" applyNumberFormat="1" applyFont="1" applyBorder="1"/>
    <xf numFmtId="164" fontId="104" fillId="0" borderId="136" xfId="237" applyNumberFormat="1" applyFont="1" applyBorder="1"/>
    <xf numFmtId="164" fontId="104" fillId="0" borderId="140" xfId="237" applyNumberFormat="1" applyFont="1" applyBorder="1"/>
    <xf numFmtId="164" fontId="104" fillId="50" borderId="0" xfId="237" applyNumberFormat="1" applyFont="1" applyFill="1"/>
    <xf numFmtId="0" fontId="99" fillId="51" borderId="134" xfId="236" applyFont="1" applyFill="1" applyBorder="1" applyAlignment="1">
      <alignment wrapText="1"/>
    </xf>
    <xf numFmtId="0" fontId="99" fillId="51" borderId="0" xfId="236" applyFont="1" applyFill="1"/>
    <xf numFmtId="164" fontId="99" fillId="51" borderId="0" xfId="237" applyNumberFormat="1" applyFont="1" applyFill="1"/>
    <xf numFmtId="164" fontId="99" fillId="51" borderId="135" xfId="237" applyNumberFormat="1" applyFont="1" applyFill="1" applyBorder="1"/>
    <xf numFmtId="0" fontId="105" fillId="0" borderId="0" xfId="236" applyFont="1"/>
    <xf numFmtId="43" fontId="106" fillId="0" borderId="0" xfId="60" applyFont="1"/>
    <xf numFmtId="164" fontId="99" fillId="0" borderId="0" xfId="237" applyNumberFormat="1" applyFont="1"/>
    <xf numFmtId="164" fontId="99" fillId="0" borderId="135" xfId="237" applyNumberFormat="1" applyFont="1" applyBorder="1"/>
    <xf numFmtId="0" fontId="99" fillId="0" borderId="134" xfId="236" applyFont="1" applyBorder="1" applyAlignment="1">
      <alignment wrapText="1"/>
    </xf>
    <xf numFmtId="164" fontId="107" fillId="0" borderId="0" xfId="237" applyNumberFormat="1" applyFont="1" applyAlignment="1">
      <alignment horizontal="center"/>
    </xf>
    <xf numFmtId="164" fontId="99" fillId="0" borderId="138" xfId="237" applyNumberFormat="1" applyFont="1" applyBorder="1"/>
    <xf numFmtId="0" fontId="98" fillId="52" borderId="0" xfId="236" applyFont="1" applyFill="1"/>
    <xf numFmtId="0" fontId="98" fillId="0" borderId="134" xfId="236" applyFont="1" applyBorder="1"/>
    <xf numFmtId="0" fontId="99" fillId="0" borderId="141" xfId="236" applyFont="1" applyBorder="1" applyAlignment="1">
      <alignment horizontal="left"/>
    </xf>
    <xf numFmtId="0" fontId="98" fillId="0" borderId="0" xfId="236" applyFont="1" applyAlignment="1">
      <alignment horizontal="left"/>
    </xf>
    <xf numFmtId="164" fontId="99" fillId="0" borderId="3" xfId="237" applyNumberFormat="1" applyFont="1" applyBorder="1" applyAlignment="1">
      <alignment horizontal="center"/>
    </xf>
    <xf numFmtId="164" fontId="99" fillId="0" borderId="142" xfId="237" applyNumberFormat="1" applyFont="1" applyBorder="1" applyAlignment="1">
      <alignment horizontal="center"/>
    </xf>
    <xf numFmtId="0" fontId="108" fillId="53" borderId="0" xfId="236" applyFont="1" applyFill="1"/>
    <xf numFmtId="0" fontId="94" fillId="52" borderId="0" xfId="236" applyFont="1" applyFill="1"/>
    <xf numFmtId="43" fontId="98" fillId="52" borderId="0" xfId="60" applyFont="1" applyFill="1"/>
    <xf numFmtId="0" fontId="98" fillId="53" borderId="0" xfId="236" applyFont="1" applyFill="1"/>
    <xf numFmtId="10" fontId="108" fillId="53" borderId="0" xfId="228" applyNumberFormat="1" applyFont="1" applyFill="1"/>
    <xf numFmtId="0" fontId="94" fillId="53" borderId="0" xfId="236" applyFont="1" applyFill="1"/>
    <xf numFmtId="43" fontId="98" fillId="53" borderId="0" xfId="60" applyFont="1" applyFill="1"/>
    <xf numFmtId="10" fontId="94" fillId="53" borderId="0" xfId="228" applyNumberFormat="1" applyFont="1" applyFill="1"/>
    <xf numFmtId="165" fontId="94" fillId="53" borderId="0" xfId="100" applyNumberFormat="1" applyFont="1" applyFill="1"/>
    <xf numFmtId="10" fontId="94" fillId="52" borderId="0" xfId="228" applyNumberFormat="1" applyFont="1" applyFill="1"/>
    <xf numFmtId="0" fontId="98" fillId="0" borderId="139" xfId="236" applyFont="1" applyBorder="1" applyAlignment="1">
      <alignment horizontal="left" indent="2"/>
    </xf>
    <xf numFmtId="0" fontId="98" fillId="0" borderId="136" xfId="236" applyFont="1" applyBorder="1" applyAlignment="1">
      <alignment horizontal="left" indent="2"/>
    </xf>
    <xf numFmtId="164" fontId="98" fillId="0" borderId="140" xfId="237" applyNumberFormat="1" applyFont="1" applyBorder="1"/>
    <xf numFmtId="10" fontId="98" fillId="0" borderId="135" xfId="238" applyNumberFormat="1" applyFont="1" applyBorder="1"/>
    <xf numFmtId="10" fontId="98" fillId="50" borderId="0" xfId="238" applyNumberFormat="1" applyFont="1" applyFill="1"/>
    <xf numFmtId="0" fontId="109" fillId="52" borderId="0" xfId="236" applyFont="1" applyFill="1"/>
    <xf numFmtId="0" fontId="104" fillId="51" borderId="143" xfId="236" applyFont="1" applyFill="1" applyBorder="1" applyAlignment="1">
      <alignment horizontal="left" indent="1"/>
    </xf>
    <xf numFmtId="0" fontId="104" fillId="51" borderId="144" xfId="236" applyFont="1" applyFill="1" applyBorder="1" applyAlignment="1">
      <alignment horizontal="left"/>
    </xf>
    <xf numFmtId="164" fontId="104" fillId="51" borderId="144" xfId="237" applyNumberFormat="1" applyFont="1" applyFill="1" applyBorder="1"/>
    <xf numFmtId="164" fontId="104" fillId="51" borderId="145" xfId="237" applyNumberFormat="1" applyFont="1" applyFill="1" applyBorder="1"/>
    <xf numFmtId="0" fontId="104" fillId="50" borderId="0" xfId="236" applyFont="1" applyFill="1" applyAlignment="1">
      <alignment horizontal="left" indent="1"/>
    </xf>
    <xf numFmtId="0" fontId="104" fillId="50" borderId="0" xfId="236" applyFont="1" applyFill="1" applyAlignment="1">
      <alignment horizontal="left"/>
    </xf>
    <xf numFmtId="164" fontId="98" fillId="0" borderId="0" xfId="237" applyNumberFormat="1" applyFont="1" applyAlignment="1">
      <alignment horizontal="left"/>
    </xf>
    <xf numFmtId="0" fontId="104" fillId="51" borderId="0" xfId="236" applyFont="1" applyFill="1" applyAlignment="1">
      <alignment horizontal="left" indent="2"/>
    </xf>
    <xf numFmtId="165" fontId="104" fillId="51" borderId="0" xfId="100" applyNumberFormat="1" applyFont="1" applyFill="1"/>
    <xf numFmtId="164" fontId="104" fillId="51" borderId="0" xfId="237" applyNumberFormat="1" applyFont="1" applyFill="1"/>
    <xf numFmtId="0" fontId="100" fillId="0" borderId="0" xfId="236" applyFont="1"/>
    <xf numFmtId="43" fontId="100" fillId="0" borderId="0" xfId="60" applyFont="1"/>
    <xf numFmtId="14" fontId="99" fillId="0" borderId="0" xfId="236" applyNumberFormat="1" applyFont="1" applyAlignment="1">
      <alignment horizontal="left"/>
    </xf>
    <xf numFmtId="164" fontId="94" fillId="0" borderId="0" xfId="237" applyNumberFormat="1" applyFont="1"/>
    <xf numFmtId="0" fontId="111" fillId="0" borderId="0" xfId="0" applyFont="1"/>
    <xf numFmtId="0" fontId="111" fillId="0" borderId="0" xfId="0" applyFont="1" applyAlignment="1">
      <alignment horizontal="right"/>
    </xf>
    <xf numFmtId="0" fontId="0" fillId="54" borderId="1" xfId="0" applyFill="1" applyBorder="1"/>
    <xf numFmtId="0" fontId="0" fillId="54" borderId="1" xfId="0" applyFill="1" applyBorder="1" applyAlignment="1">
      <alignment wrapText="1"/>
    </xf>
    <xf numFmtId="0" fontId="0" fillId="0" borderId="1" xfId="0" applyBorder="1"/>
    <xf numFmtId="3" fontId="5" fillId="0" borderId="1" xfId="0" applyNumberFormat="1" applyFont="1" applyBorder="1"/>
    <xf numFmtId="0" fontId="0" fillId="55" borderId="136" xfId="0" applyFill="1" applyBorder="1"/>
    <xf numFmtId="0" fontId="0" fillId="55" borderId="136" xfId="0" applyFill="1" applyBorder="1" applyAlignment="1">
      <alignment horizontal="right"/>
    </xf>
    <xf numFmtId="164" fontId="0" fillId="55" borderId="136" xfId="3" applyNumberFormat="1" applyFont="1" applyFill="1" applyBorder="1"/>
    <xf numFmtId="0" fontId="0" fillId="0" borderId="136" xfId="0" applyBorder="1"/>
    <xf numFmtId="3" fontId="5" fillId="0" borderId="136" xfId="0" applyNumberFormat="1" applyFont="1" applyBorder="1"/>
    <xf numFmtId="0" fontId="5" fillId="0" borderId="1" xfId="0" applyFont="1" applyBorder="1"/>
    <xf numFmtId="3" fontId="0" fillId="0" borderId="1" xfId="0" applyNumberForma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136" xfId="0" applyFont="1" applyBorder="1"/>
    <xf numFmtId="0" fontId="0" fillId="55" borderId="1" xfId="0" applyFill="1" applyBorder="1"/>
    <xf numFmtId="0" fontId="0" fillId="55" borderId="1" xfId="0" applyFill="1" applyBorder="1" applyAlignment="1">
      <alignment horizontal="right"/>
    </xf>
    <xf numFmtId="164" fontId="0" fillId="55" borderId="1" xfId="3" applyNumberFormat="1" applyFont="1" applyFill="1" applyBorder="1"/>
    <xf numFmtId="0" fontId="0" fillId="0" borderId="85" xfId="0" applyBorder="1"/>
    <xf numFmtId="0" fontId="5" fillId="0" borderId="85" xfId="0" applyFont="1" applyBorder="1"/>
    <xf numFmtId="3" fontId="5" fillId="0" borderId="85" xfId="0" applyNumberFormat="1" applyFont="1" applyBorder="1"/>
    <xf numFmtId="0" fontId="0" fillId="0" borderId="146" xfId="0" applyBorder="1"/>
    <xf numFmtId="0" fontId="5" fillId="0" borderId="146" xfId="0" applyFont="1" applyBorder="1"/>
    <xf numFmtId="3" fontId="5" fillId="0" borderId="146" xfId="0" applyNumberFormat="1" applyFont="1" applyBorder="1"/>
    <xf numFmtId="0" fontId="8" fillId="0" borderId="0" xfId="0" applyFont="1" applyAlignment="1">
      <alignment horizontal="right"/>
    </xf>
    <xf numFmtId="164" fontId="8" fillId="0" borderId="0" xfId="0" applyNumberFormat="1" applyFont="1"/>
    <xf numFmtId="0" fontId="0" fillId="55" borderId="146" xfId="0" applyFill="1" applyBorder="1"/>
    <xf numFmtId="164" fontId="0" fillId="55" borderId="146" xfId="3" applyNumberFormat="1" applyFont="1" applyFill="1" applyBorder="1"/>
    <xf numFmtId="0" fontId="0" fillId="55" borderId="3" xfId="0" applyFill="1" applyBorder="1"/>
    <xf numFmtId="164" fontId="0" fillId="55" borderId="3" xfId="3" applyNumberFormat="1" applyFont="1" applyFill="1" applyBorder="1"/>
    <xf numFmtId="0" fontId="0" fillId="0" borderId="147" xfId="0" applyBorder="1"/>
    <xf numFmtId="3" fontId="0" fillId="0" borderId="147" xfId="0" applyNumberFormat="1" applyBorder="1"/>
    <xf numFmtId="164" fontId="8" fillId="0" borderId="0" xfId="3" applyNumberFormat="1" applyFont="1"/>
    <xf numFmtId="0" fontId="76" fillId="43" borderId="0" xfId="0" applyFont="1" applyFill="1" applyAlignment="1">
      <alignment horizontal="center" wrapText="1"/>
    </xf>
    <xf numFmtId="0" fontId="76" fillId="43" borderId="3" xfId="0" applyFont="1" applyFill="1" applyBorder="1" applyAlignment="1">
      <alignment horizontal="center" wrapText="1"/>
    </xf>
    <xf numFmtId="165" fontId="10" fillId="0" borderId="0" xfId="1" applyNumberFormat="1" applyFont="1" applyAlignment="1">
      <alignment horizontal="center" vertical="center" wrapText="1"/>
    </xf>
    <xf numFmtId="164" fontId="32" fillId="0" borderId="3" xfId="3" applyNumberFormat="1" applyFont="1" applyBorder="1" applyAlignment="1">
      <alignment horizontal="center" vertical="center" wrapText="1"/>
    </xf>
    <xf numFmtId="0" fontId="84" fillId="0" borderId="4" xfId="0" applyFont="1" applyBorder="1" applyAlignment="1">
      <alignment horizontal="center" vertical="center" textRotation="90" wrapText="1"/>
    </xf>
    <xf numFmtId="0" fontId="84" fillId="0" borderId="0" xfId="0" applyFont="1" applyBorder="1" applyAlignment="1">
      <alignment horizontal="center" vertical="center" textRotation="90" wrapText="1"/>
    </xf>
    <xf numFmtId="0" fontId="84" fillId="0" borderId="3" xfId="0" applyFont="1" applyBorder="1" applyAlignment="1">
      <alignment horizontal="center" vertical="center" textRotation="90" wrapText="1"/>
    </xf>
    <xf numFmtId="0" fontId="77" fillId="0" borderId="0" xfId="234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32" fillId="0" borderId="4" xfId="0" applyFont="1" applyBorder="1" applyAlignment="1">
      <alignment horizontal="center" vertical="center" textRotation="90" wrapText="1"/>
    </xf>
    <xf numFmtId="0" fontId="32" fillId="0" borderId="0" xfId="0" applyFont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right" vertical="center" wrapText="1"/>
    </xf>
    <xf numFmtId="0" fontId="25" fillId="0" borderId="110" xfId="0" applyFont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25" fillId="0" borderId="24" xfId="0" applyFont="1" applyBorder="1" applyAlignment="1">
      <alignment horizontal="right" vertical="center" wrapText="1"/>
    </xf>
    <xf numFmtId="0" fontId="25" fillId="0" borderId="26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/>
    </xf>
    <xf numFmtId="0" fontId="32" fillId="0" borderId="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textRotation="90" wrapText="1"/>
    </xf>
    <xf numFmtId="0" fontId="32" fillId="0" borderId="20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left" vertical="center" wrapText="1"/>
    </xf>
    <xf numFmtId="0" fontId="29" fillId="0" borderId="66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right" wrapText="1"/>
    </xf>
    <xf numFmtId="0" fontId="29" fillId="0" borderId="107" xfId="0" applyFont="1" applyBorder="1" applyAlignment="1">
      <alignment horizontal="right" wrapText="1"/>
    </xf>
    <xf numFmtId="0" fontId="29" fillId="0" borderId="0" xfId="0" applyFont="1" applyAlignment="1">
      <alignment horizontal="left" vertical="top" wrapText="1"/>
    </xf>
    <xf numFmtId="0" fontId="29" fillId="0" borderId="66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left" vertical="top" wrapText="1"/>
    </xf>
    <xf numFmtId="0" fontId="33" fillId="0" borderId="41" xfId="0" applyFont="1" applyBorder="1" applyAlignment="1">
      <alignment horizontal="right" wrapText="1"/>
    </xf>
    <xf numFmtId="0" fontId="33" fillId="0" borderId="104" xfId="0" applyFont="1" applyBorder="1" applyAlignment="1">
      <alignment horizontal="right" wrapText="1"/>
    </xf>
    <xf numFmtId="0" fontId="33" fillId="0" borderId="107" xfId="0" applyFont="1" applyBorder="1" applyAlignment="1">
      <alignment horizontal="right" wrapText="1"/>
    </xf>
    <xf numFmtId="0" fontId="7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73" fillId="0" borderId="0" xfId="0" applyFont="1" applyAlignment="1">
      <alignment horizontal="center"/>
    </xf>
    <xf numFmtId="164" fontId="69" fillId="0" borderId="2" xfId="3" applyNumberFormat="1" applyFont="1" applyBorder="1" applyAlignment="1">
      <alignment horizontal="center"/>
    </xf>
    <xf numFmtId="164" fontId="69" fillId="0" borderId="0" xfId="3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71" fillId="0" borderId="3" xfId="0" applyFont="1" applyBorder="1" applyAlignment="1">
      <alignment horizontal="center" vertical="center" wrapText="1"/>
    </xf>
    <xf numFmtId="0" fontId="71" fillId="0" borderId="110" xfId="0" applyFont="1" applyBorder="1" applyAlignment="1">
      <alignment horizontal="center" vertical="center" wrapText="1"/>
    </xf>
    <xf numFmtId="0" fontId="70" fillId="43" borderId="0" xfId="0" applyFont="1" applyFill="1" applyAlignment="1">
      <alignment horizontal="center" wrapText="1"/>
    </xf>
    <xf numFmtId="0" fontId="70" fillId="43" borderId="3" xfId="0" applyFont="1" applyFill="1" applyBorder="1" applyAlignment="1">
      <alignment horizontal="center" wrapText="1"/>
    </xf>
    <xf numFmtId="165" fontId="25" fillId="0" borderId="4" xfId="1" applyNumberFormat="1" applyFont="1" applyBorder="1" applyAlignment="1">
      <alignment horizontal="right" vertical="center" wrapText="1"/>
    </xf>
    <xf numFmtId="165" fontId="25" fillId="0" borderId="10" xfId="1" applyNumberFormat="1" applyFont="1" applyBorder="1" applyAlignment="1">
      <alignment horizontal="right" vertical="center" wrapText="1"/>
    </xf>
    <xf numFmtId="165" fontId="25" fillId="0" borderId="4" xfId="1" applyNumberFormat="1" applyFont="1" applyBorder="1" applyAlignment="1">
      <alignment horizontal="center" vertical="center" wrapText="1"/>
    </xf>
    <xf numFmtId="0" fontId="77" fillId="0" borderId="3" xfId="234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4" fillId="0" borderId="0" xfId="0" applyFont="1" applyAlignment="1">
      <alignment horizontal="center" vertical="center" textRotation="90" wrapText="1"/>
    </xf>
    <xf numFmtId="0" fontId="24" fillId="0" borderId="110" xfId="0" applyFont="1" applyBorder="1" applyAlignment="1">
      <alignment horizontal="center" wrapText="1"/>
    </xf>
    <xf numFmtId="0" fontId="95" fillId="0" borderId="0" xfId="236" applyFont="1" applyAlignment="1">
      <alignment horizontal="center" wrapText="1"/>
    </xf>
    <xf numFmtId="43" fontId="97" fillId="49" borderId="0" xfId="60" applyFont="1" applyFill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10" fontId="14" fillId="0" borderId="11" xfId="0" applyNumberFormat="1" applyFont="1" applyBorder="1" applyAlignment="1">
      <alignment horizontal="center"/>
    </xf>
    <xf numFmtId="10" fontId="14" fillId="0" borderId="12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textRotation="90"/>
    </xf>
    <xf numFmtId="0" fontId="19" fillId="2" borderId="20" xfId="0" applyFont="1" applyFill="1" applyBorder="1" applyAlignment="1">
      <alignment horizontal="center" vertical="center" textRotation="90"/>
    </xf>
    <xf numFmtId="0" fontId="19" fillId="2" borderId="29" xfId="0" applyFont="1" applyFill="1" applyBorder="1" applyAlignment="1">
      <alignment horizontal="center" vertical="center" textRotation="90" wrapText="1"/>
    </xf>
    <xf numFmtId="0" fontId="19" fillId="2" borderId="0" xfId="0" applyFont="1" applyFill="1" applyAlignment="1">
      <alignment horizontal="center" vertical="center" textRotation="90" wrapText="1"/>
    </xf>
    <xf numFmtId="0" fontId="19" fillId="2" borderId="20" xfId="0" applyFont="1" applyFill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wrapText="1"/>
    </xf>
    <xf numFmtId="0" fontId="6" fillId="0" borderId="84" xfId="0" applyFont="1" applyBorder="1" applyAlignment="1">
      <alignment horizontal="right"/>
    </xf>
    <xf numFmtId="0" fontId="6" fillId="0" borderId="85" xfId="0" applyFont="1" applyBorder="1" applyAlignment="1">
      <alignment horizontal="right"/>
    </xf>
    <xf numFmtId="0" fontId="6" fillId="0" borderId="86" xfId="0" applyFont="1" applyBorder="1" applyAlignment="1">
      <alignment horizontal="right"/>
    </xf>
    <xf numFmtId="0" fontId="2" fillId="0" borderId="79" xfId="0" quotePrefix="1" applyFont="1" applyBorder="1" applyAlignment="1">
      <alignment horizontal="center" wrapText="1"/>
    </xf>
    <xf numFmtId="3" fontId="2" fillId="0" borderId="79" xfId="0" applyNumberFormat="1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9" fontId="30" fillId="0" borderId="40" xfId="2" applyFont="1" applyBorder="1" applyAlignment="1">
      <alignment horizontal="center" wrapText="1"/>
    </xf>
    <xf numFmtId="9" fontId="30" fillId="0" borderId="0" xfId="2" applyFont="1" applyAlignment="1">
      <alignment horizontal="center" wrapText="1"/>
    </xf>
    <xf numFmtId="0" fontId="29" fillId="0" borderId="20" xfId="0" applyFont="1" applyBorder="1" applyAlignment="1">
      <alignment horizontal="right" wrapText="1"/>
    </xf>
    <xf numFmtId="0" fontId="29" fillId="0" borderId="67" xfId="0" applyFont="1" applyBorder="1" applyAlignment="1">
      <alignment horizontal="right" wrapText="1"/>
    </xf>
    <xf numFmtId="0" fontId="31" fillId="0" borderId="0" xfId="0" applyFont="1" applyAlignment="1">
      <alignment horizontal="center" vertical="center" wrapText="1"/>
    </xf>
    <xf numFmtId="0" fontId="35" fillId="0" borderId="53" xfId="0" quotePrefix="1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33" fillId="0" borderId="22" xfId="0" applyFont="1" applyBorder="1" applyAlignment="1">
      <alignment horizontal="right" wrapText="1"/>
    </xf>
    <xf numFmtId="0" fontId="25" fillId="0" borderId="29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center" vertical="center" wrapText="1"/>
    </xf>
    <xf numFmtId="10" fontId="30" fillId="0" borderId="46" xfId="2" applyNumberFormat="1" applyFont="1" applyBorder="1" applyAlignment="1">
      <alignment horizontal="center" vertical="center"/>
    </xf>
    <xf numFmtId="10" fontId="30" fillId="0" borderId="8" xfId="2" applyNumberFormat="1" applyFont="1" applyBorder="1" applyAlignment="1">
      <alignment horizontal="center" vertical="center"/>
    </xf>
    <xf numFmtId="0" fontId="25" fillId="0" borderId="51" xfId="0" applyFont="1" applyBorder="1" applyAlignment="1">
      <alignment horizontal="right" vertical="center" wrapText="1"/>
    </xf>
    <xf numFmtId="0" fontId="31" fillId="0" borderId="4" xfId="0" applyFont="1" applyBorder="1" applyAlignment="1">
      <alignment horizontal="center" vertical="center" wrapText="1"/>
    </xf>
    <xf numFmtId="9" fontId="30" fillId="0" borderId="4" xfId="2" quotePrefix="1" applyFont="1" applyBorder="1" applyAlignment="1">
      <alignment horizontal="center" vertical="center"/>
    </xf>
    <xf numFmtId="9" fontId="30" fillId="0" borderId="4" xfId="2" applyFont="1" applyBorder="1" applyAlignment="1">
      <alignment horizontal="center" vertical="center"/>
    </xf>
    <xf numFmtId="0" fontId="33" fillId="0" borderId="20" xfId="0" applyFont="1" applyBorder="1" applyAlignment="1">
      <alignment horizontal="right" wrapText="1"/>
    </xf>
    <xf numFmtId="0" fontId="33" fillId="0" borderId="67" xfId="0" applyFont="1" applyBorder="1" applyAlignment="1">
      <alignment horizontal="right" wrapText="1"/>
    </xf>
    <xf numFmtId="0" fontId="22" fillId="6" borderId="0" xfId="0" applyFont="1" applyFill="1" applyAlignment="1">
      <alignment horizontal="center" textRotation="90"/>
    </xf>
    <xf numFmtId="0" fontId="27" fillId="0" borderId="0" xfId="0" applyFont="1" applyAlignment="1">
      <alignment horizontal="center"/>
    </xf>
    <xf numFmtId="164" fontId="27" fillId="0" borderId="2" xfId="3" applyNumberFormat="1" applyFont="1" applyBorder="1" applyAlignment="1">
      <alignment horizontal="center"/>
    </xf>
    <xf numFmtId="164" fontId="27" fillId="0" borderId="0" xfId="3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textRotation="90"/>
    </xf>
  </cellXfs>
  <cellStyles count="240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7" xr:uid="{DDCFF4C1-FABB-4D3F-B25B-6297C177E3B8}"/>
    <cellStyle name="60% - Accent2 2" xfId="48" xr:uid="{E13821B7-E849-4E32-AC77-06F69D4B0776}"/>
    <cellStyle name="60% - Accent3 2" xfId="49" xr:uid="{877D3F32-F56F-491E-BF67-EF0A0204D218}"/>
    <cellStyle name="60% - Accent4 2" xfId="50" xr:uid="{1FAFA891-3C0B-46A3-AFDC-55CE3BD0CD51}"/>
    <cellStyle name="60% - Accent5 2" xfId="51" xr:uid="{E993D1A8-926E-411B-BD6B-0E80BF095EA0}"/>
    <cellStyle name="60% - Accent6 2" xfId="52" xr:uid="{1AC0F17C-D832-4443-B02C-8780CEEF8085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1" builtinId="3"/>
    <cellStyle name="Comma [0] 2" xfId="54" xr:uid="{25D52D18-5463-4F84-A0EE-2A0250661960}"/>
    <cellStyle name="Comma [0] 2 2" xfId="55" xr:uid="{6E0997D7-8776-4106-9746-1BDA84A1D9A8}"/>
    <cellStyle name="Comma 10" xfId="56" xr:uid="{5054FA7F-A336-4E40-8A7C-15AB618FF6BE}"/>
    <cellStyle name="Comma 11" xfId="53" xr:uid="{93077897-3DC8-4681-9CA7-815FE0AEBFD2}"/>
    <cellStyle name="Comma 2" xfId="37" xr:uid="{DB80D7A5-23C5-429F-AB5D-9F28E4C8C41E}"/>
    <cellStyle name="Comma 2 2" xfId="40" xr:uid="{EC68BEBD-34E9-48DB-8B65-81046A124147}"/>
    <cellStyle name="Comma 2 2 10" xfId="58" xr:uid="{39C218CE-E08D-47ED-93E6-145564766493}"/>
    <cellStyle name="Comma 2 2 2" xfId="59" xr:uid="{63E21845-90E8-4679-BC28-FB1F58D05C47}"/>
    <cellStyle name="Comma 2 2 2 2" xfId="60" xr:uid="{8F43A791-C16F-4B7F-A99D-362D1BB054BB}"/>
    <cellStyle name="Comma 2 2 3" xfId="61" xr:uid="{391228F8-1C63-49E0-B3F0-285E66E182B2}"/>
    <cellStyle name="Comma 2 2 4" xfId="62" xr:uid="{B59FBD02-4613-4252-94A1-3581A86F16E8}"/>
    <cellStyle name="Comma 2 2 5" xfId="63" xr:uid="{33262257-D65D-4600-B0A2-5EA9FAFEBFB7}"/>
    <cellStyle name="Comma 2 2 6" xfId="64" xr:uid="{A0F05E6A-C0E9-4B99-94FA-074063AD561D}"/>
    <cellStyle name="Comma 2 2 7" xfId="65" xr:uid="{F24CF323-AA36-486E-B4CD-8B0330A47048}"/>
    <cellStyle name="Comma 2 2 8" xfId="66" xr:uid="{F35BB694-1766-4829-BA98-D22ADB22E12A}"/>
    <cellStyle name="Comma 2 2 9" xfId="67" xr:uid="{8F6FBFCF-5F02-4E87-8042-E83AA1AC6417}"/>
    <cellStyle name="Comma 2 3" xfId="68" xr:uid="{A178571E-8B9F-41F9-A1E9-32F599B640C3}"/>
    <cellStyle name="Comma 2 3 2" xfId="69" xr:uid="{742CF438-88BF-4D71-AD9D-DE6D7DFF320E}"/>
    <cellStyle name="Comma 2 3 3" xfId="70" xr:uid="{D3A5A6BC-30E4-42B7-AEC1-9CD58227C9B6}"/>
    <cellStyle name="Comma 2 3 4" xfId="71" xr:uid="{D64478A9-6C72-4659-BC4D-3CD14D31F7EC}"/>
    <cellStyle name="Comma 2 3 5" xfId="72" xr:uid="{CCBB0F31-6AD9-4ECB-91B7-DDA8097CD470}"/>
    <cellStyle name="Comma 2 3 6" xfId="73" xr:uid="{A8AEA859-6498-47C9-B2D1-048B0B97C027}"/>
    <cellStyle name="Comma 2 3 7" xfId="74" xr:uid="{9E5E9EF9-9A88-4636-9587-349C03D8268A}"/>
    <cellStyle name="Comma 2 3 8" xfId="75" xr:uid="{9EDC4DA0-85EB-45F0-8934-EF2E5A261DFB}"/>
    <cellStyle name="Comma 2 4" xfId="76" xr:uid="{ECCA50B0-634E-4951-9AA3-AFD4B3FBD4FB}"/>
    <cellStyle name="Comma 2 5" xfId="77" xr:uid="{8F16FE74-D040-4C0F-9BB7-973729CFBFCE}"/>
    <cellStyle name="Comma 2 6" xfId="78" xr:uid="{269723FC-CA8A-4BB2-A671-BAA2D151FC8A}"/>
    <cellStyle name="Comma 2 7" xfId="79" xr:uid="{CE5210C0-EAF5-427E-8FC9-F1809CC449DC}"/>
    <cellStyle name="Comma 2 8" xfId="80" xr:uid="{D73E205D-2746-47ED-BCBD-9D241556126E}"/>
    <cellStyle name="Comma 2 9" xfId="57" xr:uid="{0A9390D2-2326-4B76-8417-8A97900BF1DB}"/>
    <cellStyle name="Comma 3" xfId="81" xr:uid="{1F0A974A-2E9F-44EE-8D59-BB8C53068794}"/>
    <cellStyle name="Comma 4" xfId="82" xr:uid="{420E07A7-9B40-4ABD-A2DC-E2EB857D9401}"/>
    <cellStyle name="Comma 4 10" xfId="83" xr:uid="{C273D3B4-952E-4972-987C-8501786B7445}"/>
    <cellStyle name="Comma 4 11" xfId="84" xr:uid="{D61A0DE7-0DE2-4CC4-B42D-217CB08AA46A}"/>
    <cellStyle name="Comma 4 12" xfId="85" xr:uid="{23B1B9B5-E353-4E03-8C69-19C2CD47816C}"/>
    <cellStyle name="Comma 4 2" xfId="86" xr:uid="{888FC7DB-A3F6-4CCF-B254-AB47A686C751}"/>
    <cellStyle name="Comma 4 2 2" xfId="87" xr:uid="{94B5CA56-329E-41E6-8BD1-055B67030A44}"/>
    <cellStyle name="Comma 4 3" xfId="88" xr:uid="{1BDFE17D-CA00-448E-9DAF-371BE7ED5278}"/>
    <cellStyle name="Comma 4 4" xfId="89" xr:uid="{FD6D9677-6060-4BB4-8996-DE456A6BB4A5}"/>
    <cellStyle name="Comma 4 5" xfId="90" xr:uid="{2AD610E5-8100-4441-8038-2C106A41C20D}"/>
    <cellStyle name="Comma 4 6" xfId="91" xr:uid="{F1E9693F-1CD5-4BF8-86DB-CB7DC84E3F88}"/>
    <cellStyle name="Comma 4 7" xfId="92" xr:uid="{04220820-9481-43B6-B7AD-AEE4763001E4}"/>
    <cellStyle name="Comma 4 8" xfId="93" xr:uid="{DA41FDF1-1A22-4AF5-A660-B469D9D520D3}"/>
    <cellStyle name="Comma 4 9" xfId="94" xr:uid="{FD7D945D-FF41-470F-9D21-A91C6887EF56}"/>
    <cellStyle name="Comma 5" xfId="95" xr:uid="{A90BA5B5-6010-44A0-A170-26B84CB4EB97}"/>
    <cellStyle name="Comma 5 2" xfId="96" xr:uid="{CE558B3B-84B8-4A26-B38C-F27A5AED7B5B}"/>
    <cellStyle name="Comma 5 3" xfId="97" xr:uid="{5568CE6F-270C-4F9A-8DF1-CE64A5FB3C99}"/>
    <cellStyle name="Comma 5 4" xfId="98" xr:uid="{2285FF01-1BB7-4755-A965-82E390D5E732}"/>
    <cellStyle name="Comma 5 5" xfId="99" xr:uid="{E41A0FFA-83D3-4981-8F07-F25017F149DC}"/>
    <cellStyle name="Comma 5 6" xfId="100" xr:uid="{DC54032F-E40E-4D54-89F4-A50A0180C9D7}"/>
    <cellStyle name="Comma 6" xfId="101" xr:uid="{6CBB3FC8-2C7D-4917-92EF-939307281298}"/>
    <cellStyle name="Comma 7" xfId="102" xr:uid="{88F6374D-E807-418D-B08D-068BD7738E17}"/>
    <cellStyle name="Comma 8" xfId="103" xr:uid="{75F4D759-C0CB-4317-8410-B52C86C1F6B7}"/>
    <cellStyle name="Comma 9" xfId="104" xr:uid="{8D7FD38C-9FD9-49A0-B67B-6A2E66874CF7}"/>
    <cellStyle name="Currency" xfId="3" builtinId="4"/>
    <cellStyle name="Currency [0] 2" xfId="106" xr:uid="{9BBDFF34-67E4-4E1A-B518-296101ABC1F9}"/>
    <cellStyle name="Currency 2" xfId="43" xr:uid="{FD763CD2-31F5-43EC-BF7D-E22DFD7C8234}"/>
    <cellStyle name="Currency 2 2" xfId="108" xr:uid="{44B69F09-0DA6-43F4-B486-7EE21A0FEFAC}"/>
    <cellStyle name="Currency 2 2 2" xfId="109" xr:uid="{FD103312-DE80-4FBE-8B32-BB049984DBC4}"/>
    <cellStyle name="Currency 2 2 2 2" xfId="237" xr:uid="{742BE6EB-EC11-414D-AF90-7E05C6006C59}"/>
    <cellStyle name="Currency 2 2 3" xfId="110" xr:uid="{A35D496D-455D-41FA-93AC-7000F0682D1C}"/>
    <cellStyle name="Currency 2 2 4" xfId="111" xr:uid="{A59CBF33-01DB-4642-8AB9-2686F2B4EE0C}"/>
    <cellStyle name="Currency 2 2 5" xfId="112" xr:uid="{3783E298-308C-4290-B7C2-0C478CE52864}"/>
    <cellStyle name="Currency 2 2 6" xfId="113" xr:uid="{CEB76127-CAEA-4C49-995A-5C491CF21E71}"/>
    <cellStyle name="Currency 2 3" xfId="114" xr:uid="{B18EF147-F599-4C89-B316-16575469F542}"/>
    <cellStyle name="Currency 2 4" xfId="115" xr:uid="{778EA44B-3D73-4A1D-B45D-DEF3BE0523DD}"/>
    <cellStyle name="Currency 2 5" xfId="116" xr:uid="{9EAC978F-569A-444F-B5D6-7AC901EC3454}"/>
    <cellStyle name="Currency 2 6" xfId="107" xr:uid="{DD3A4339-8610-47F1-813B-1343C397BFDF}"/>
    <cellStyle name="Currency 3" xfId="117" xr:uid="{2999DE99-198E-475B-93D5-C4B7194CFBFC}"/>
    <cellStyle name="Currency 3 2" xfId="118" xr:uid="{EC3D7459-B5BA-4227-8155-124938CEB0A5}"/>
    <cellStyle name="Currency 4" xfId="119" xr:uid="{CFCCFA66-30BF-4A2E-A41B-FEF667947E4F}"/>
    <cellStyle name="Currency 4 2" xfId="120" xr:uid="{A9798223-4C47-4D82-AA19-2762B3297480}"/>
    <cellStyle name="Currency 5" xfId="121" xr:uid="{B6BDAD5D-CE29-4BC7-AD6D-A34E9ADD2AEE}"/>
    <cellStyle name="Currency 6" xfId="105" xr:uid="{B09706EE-4BAE-44FD-8457-377590732C02}"/>
    <cellStyle name="Currency 7" xfId="235" xr:uid="{3BC767C4-0D40-4415-9BAC-4BAB5172ED0E}"/>
    <cellStyle name="Explanatory Text" xfId="16" builtinId="53" customBuiltin="1"/>
    <cellStyle name="F2" xfId="122" xr:uid="{80B2B87B-6AC2-4129-975D-A11D62C895B4}"/>
    <cellStyle name="F3" xfId="123" xr:uid="{4AD4D489-8160-4ED1-9638-0ADA4BC5CE0E}"/>
    <cellStyle name="F4" xfId="124" xr:uid="{4D67FE5E-07C1-4639-A153-44263FDA234F}"/>
    <cellStyle name="F5" xfId="125" xr:uid="{5CEB0C9D-91FF-4EF0-945D-4BBA56F77648}"/>
    <cellStyle name="F6" xfId="126" xr:uid="{25098B68-AF8A-4C0D-8B33-FBC397900536}"/>
    <cellStyle name="F7" xfId="127" xr:uid="{586DCD9A-B019-4637-8743-A72930BCBF99}"/>
    <cellStyle name="F8" xfId="128" xr:uid="{B58F3374-304E-43AD-B185-6C2C96CED9D8}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 2" xfId="129" xr:uid="{111AE40E-4DBA-4D4F-BBFC-641CAB257003}"/>
    <cellStyle name="Hyperlink 2 2" xfId="130" xr:uid="{6278BC65-7633-46BE-AB6F-91423F1F9802}"/>
    <cellStyle name="Input" xfId="10" builtinId="20" customBuiltin="1"/>
    <cellStyle name="Linked Cell" xfId="13" builtinId="24" customBuiltin="1"/>
    <cellStyle name="Neutral 2" xfId="46" xr:uid="{CD07FC79-F58A-4A55-B540-146D59312FD9}"/>
    <cellStyle name="Normal" xfId="0" builtinId="0"/>
    <cellStyle name="Normal 10" xfId="131" xr:uid="{2167A019-DA3D-4FB9-ADFB-6DCC3013491F}"/>
    <cellStyle name="Normal 11" xfId="132" xr:uid="{0EE0D6AB-F43A-415F-9C13-A15A539955F2}"/>
    <cellStyle name="Normal 11 2" xfId="133" xr:uid="{D74BA93E-E62F-48ED-B1FD-97C384301CB9}"/>
    <cellStyle name="Normal 11 3" xfId="134" xr:uid="{101FE8E6-1A2E-4F3D-9462-CF27C34D7FC3}"/>
    <cellStyle name="Normal 12" xfId="135" xr:uid="{7FF7E285-EB3E-4CA0-9D13-AEB5B6D32896}"/>
    <cellStyle name="Normal 12 2" xfId="136" xr:uid="{AC8C6965-D2E7-40CC-9EC1-C9132B3CA9E5}"/>
    <cellStyle name="Normal 13" xfId="137" xr:uid="{C927B5B2-7DB4-49C0-9210-515D98BF3423}"/>
    <cellStyle name="Normal 13 2" xfId="138" xr:uid="{317750A1-6E73-46AB-9680-B37CD930295B}"/>
    <cellStyle name="Normal 14" xfId="139" xr:uid="{5D59CE04-2FCB-402F-B225-25A9FA96DF00}"/>
    <cellStyle name="Normal 15" xfId="41" xr:uid="{38204CB4-DFA5-4A17-9916-4D47C38983EB}"/>
    <cellStyle name="Normal 17" xfId="140" xr:uid="{DA3FF43C-AD2F-41A0-A8C5-239BB3FD41BC}"/>
    <cellStyle name="Normal 2" xfId="36" xr:uid="{1769E711-E964-4696-80FE-39BE0BF3FDDD}"/>
    <cellStyle name="Normal 2 10" xfId="141" xr:uid="{42124079-2D10-4CE0-91BE-4E8A9DE65038}"/>
    <cellStyle name="Normal 2 11" xfId="142" xr:uid="{42E1FE91-9E53-4864-85E0-1F2CA6EE773C}"/>
    <cellStyle name="Normal 2 12" xfId="143" xr:uid="{ECA9EA71-D5D5-4187-866A-E19B96A497C2}"/>
    <cellStyle name="Normal 2 13" xfId="144" xr:uid="{E28D58EB-7A7E-4B8F-9D3A-8DF6EFDBA99C}"/>
    <cellStyle name="Normal 2 14" xfId="145" xr:uid="{DD76EEA8-A1C8-46A4-A046-CD8938BC75FD}"/>
    <cellStyle name="Normal 2 15" xfId="146" xr:uid="{5D172C83-7612-4EC7-B07E-32B9B14AB265}"/>
    <cellStyle name="Normal 2 16" xfId="147" xr:uid="{9D7F38EE-438A-4B88-A522-4903F8F9388D}"/>
    <cellStyle name="Normal 2 17" xfId="148" xr:uid="{AAF11B9F-12BE-4732-ACD7-99F82E7BE0C5}"/>
    <cellStyle name="Normal 2 2" xfId="38" xr:uid="{A81EAD53-39DB-4D3C-9CE7-59B16FD3B68A}"/>
    <cellStyle name="Normal 2 2 10" xfId="149" xr:uid="{FF0EC303-C4B8-46A9-8894-87E84ADE633D}"/>
    <cellStyle name="Normal 2 2 11" xfId="150" xr:uid="{08605CDD-8AE3-459C-A0AE-45CDB53D7390}"/>
    <cellStyle name="Normal 2 2 12" xfId="151" xr:uid="{5F174AA8-02F9-4668-9298-4329E76D1D41}"/>
    <cellStyle name="Normal 2 2 13" xfId="152" xr:uid="{910A9668-D5DA-4229-B687-C54701D987E9}"/>
    <cellStyle name="Normal 2 2 14" xfId="45" xr:uid="{7C7A633D-5A73-4D7D-AFA3-5C2AAFFD4D52}"/>
    <cellStyle name="Normal 2 2 15" xfId="239" xr:uid="{3F521F43-F1FA-47C4-BF73-3B21704A998D}"/>
    <cellStyle name="Normal 2 2 2" xfId="153" xr:uid="{C4C036F5-3F2F-4874-AAD8-35E25EEE60B8}"/>
    <cellStyle name="Normal 2 2 2 2" xfId="154" xr:uid="{75FBEF8E-06C2-4EFF-AFA0-518790248EBF}"/>
    <cellStyle name="Normal 2 2 3" xfId="155" xr:uid="{1AE52663-2D3D-4264-A9B4-F2660DB02DAF}"/>
    <cellStyle name="Normal 2 2 4" xfId="156" xr:uid="{13EB7422-CF2F-463C-A913-4F6A4622B6DD}"/>
    <cellStyle name="Normal 2 2 5" xfId="157" xr:uid="{BE763949-B726-4477-9D09-7CE6AE182CAE}"/>
    <cellStyle name="Normal 2 2 6" xfId="158" xr:uid="{D0C4A1D2-1EF7-4D9C-ACC5-764E4A1DD925}"/>
    <cellStyle name="Normal 2 2 7" xfId="159" xr:uid="{98DB52AB-27DD-4A7E-ADE7-CD742E05D677}"/>
    <cellStyle name="Normal 2 2 8" xfId="160" xr:uid="{2929BFF9-BC8C-4222-A143-088300357A9E}"/>
    <cellStyle name="Normal 2 2 9" xfId="161" xr:uid="{EC338029-147F-4F54-949D-12B53A4D9F21}"/>
    <cellStyle name="Normal 2 2_Book2" xfId="162" xr:uid="{B88C9239-AB83-4CB7-86F9-498B5C40BC24}"/>
    <cellStyle name="Normal 2 3" xfId="163" xr:uid="{802C57BC-5BB1-4D3F-99C2-62CFA380BDF1}"/>
    <cellStyle name="Normal 2 3 2" xfId="164" xr:uid="{1FF5AFAF-5C5E-495F-AB10-056A82CBA142}"/>
    <cellStyle name="Normal 2 3 2 2" xfId="165" xr:uid="{56A21423-A5C2-4458-9F9E-DA495F979228}"/>
    <cellStyle name="Normal 2 3 2 3" xfId="166" xr:uid="{F9497604-9A8E-4301-9E2A-C6C08EFFD78C}"/>
    <cellStyle name="Normal 2 3 2 4" xfId="167" xr:uid="{35B6E117-15C1-427F-99FF-2200A7E6DBC6}"/>
    <cellStyle name="Normal 2 3 2 5" xfId="168" xr:uid="{58DBA322-16D0-4651-BF79-EF4B448218CD}"/>
    <cellStyle name="Normal 2 3 2 6" xfId="169" xr:uid="{F4EAC6E1-7520-4DE7-A775-3A494B9D3853}"/>
    <cellStyle name="Normal 2 3 3" xfId="170" xr:uid="{F2D983E3-3612-48E1-BCAF-DEDEC8500E02}"/>
    <cellStyle name="Normal 2 3 3 2" xfId="171" xr:uid="{8A581068-147A-4189-9FD1-B5F9FC8E9CBE}"/>
    <cellStyle name="Normal 2 3 4" xfId="172" xr:uid="{7A718598-3E6C-4850-82A2-3EFE0E8C81BD}"/>
    <cellStyle name="Normal 2 3 5" xfId="173" xr:uid="{2354DE84-FC57-4391-966D-C01A44CEC24E}"/>
    <cellStyle name="Normal 2 3 6" xfId="174" xr:uid="{6B19FCC5-D8AB-4D12-88A8-678EA5AC327A}"/>
    <cellStyle name="Normal 2 4" xfId="175" xr:uid="{90C7A868-A9A5-47D5-9A19-DC8CD0CEA2BA}"/>
    <cellStyle name="Normal 2 4 2" xfId="176" xr:uid="{B5A42D58-A590-43B1-8B9D-D0B6E89C1E54}"/>
    <cellStyle name="Normal 2 4 3" xfId="177" xr:uid="{15C6C5BC-A5A0-4876-9A92-46427C7D7531}"/>
    <cellStyle name="Normal 2 5" xfId="178" xr:uid="{F9958699-EFEC-43B5-B5C5-F9B93A2E2079}"/>
    <cellStyle name="Normal 2 5 2" xfId="179" xr:uid="{B7C17164-73A3-4A3E-BCE3-74FC1B830479}"/>
    <cellStyle name="Normal 2 6" xfId="180" xr:uid="{E4044BAA-1321-4E6F-A072-1FBE6C4FDCF0}"/>
    <cellStyle name="Normal 2 7" xfId="181" xr:uid="{E8450F46-28FD-4956-97EC-9ED66F787D14}"/>
    <cellStyle name="Normal 2 8" xfId="182" xr:uid="{5C7C202C-66A1-4B16-8C61-17A38D11E711}"/>
    <cellStyle name="Normal 2 9" xfId="183" xr:uid="{99D469A2-F4AD-4DA3-A58F-A33752242A4E}"/>
    <cellStyle name="Normal 3" xfId="42" xr:uid="{CA7BD694-7383-4A31-A4E5-E249EE9B2D3B}"/>
    <cellStyle name="Normal 3 2" xfId="185" xr:uid="{6333A889-4D5F-430B-879B-46555A9BE268}"/>
    <cellStyle name="Normal 3 3" xfId="184" xr:uid="{14CB6D37-E9B9-4DD7-B953-ED3F62970A1F}"/>
    <cellStyle name="Normal 3_Book2" xfId="186" xr:uid="{AFF2B66B-0073-4706-ACFF-7772B0E6D931}"/>
    <cellStyle name="Normal 4" xfId="187" xr:uid="{97B8D22F-66CA-426C-8D40-15867D032781}"/>
    <cellStyle name="Normal 4 2" xfId="188" xr:uid="{A71C6D93-F071-47D8-932C-31BB0271C1B0}"/>
    <cellStyle name="Normal 4 2 2" xfId="189" xr:uid="{DEE95747-90B1-44D2-8F79-1776630B50D2}"/>
    <cellStyle name="Normal 4 2 2 2" xfId="236" xr:uid="{2BB73763-B1C5-43D5-BFD3-8D7631C92830}"/>
    <cellStyle name="Normal 4 2 3" xfId="190" xr:uid="{1123D1B3-C9BE-4648-B068-721BD4ABC7B4}"/>
    <cellStyle name="Normal 4 2 4" xfId="191" xr:uid="{F5C774E3-7DD6-48BF-A10C-2CC793E9BBFD}"/>
    <cellStyle name="Normal 4 2 5" xfId="192" xr:uid="{37F17A8D-5819-4C37-8321-C9A6B0B6CE0F}"/>
    <cellStyle name="Normal 4 2 6" xfId="193" xr:uid="{ABEADA69-244B-4912-AB58-5C69D975CFD2}"/>
    <cellStyle name="Normal 4 2 7" xfId="194" xr:uid="{FC70A479-D97A-4265-9342-C897849AA058}"/>
    <cellStyle name="Normal 4 2 8" xfId="195" xr:uid="{0B9E166E-FC3C-4B5D-BB6E-B46F550623F4}"/>
    <cellStyle name="Normal 4 3" xfId="196" xr:uid="{0D9E1F6D-E651-4179-988E-4E94F1D5A292}"/>
    <cellStyle name="Normal 4 4" xfId="197" xr:uid="{DE154EB5-CCC1-428D-A31D-3336CAD85083}"/>
    <cellStyle name="Normal 5" xfId="198" xr:uid="{D090CC3A-3253-485A-8327-F30DBAED8822}"/>
    <cellStyle name="Normal 5 2" xfId="199" xr:uid="{6D4BA1F7-EBB3-4C3E-BEFB-DBCA3887BB18}"/>
    <cellStyle name="Normal 5 2 2" xfId="200" xr:uid="{8EED74BF-B2BE-4985-A321-AA0E0607F125}"/>
    <cellStyle name="Normal 5 3" xfId="201" xr:uid="{65A2740E-68DE-46D4-AA9E-BEB6B5F27E38}"/>
    <cellStyle name="Normal 5 4" xfId="202" xr:uid="{7103F6A2-3CCB-44F5-8917-6F7241DF9F7E}"/>
    <cellStyle name="Normal 6" xfId="203" xr:uid="{9F5B690A-6C0C-4BF4-A847-B2783EB5196A}"/>
    <cellStyle name="Normal 6 10" xfId="204" xr:uid="{DB241464-E63B-4709-8322-A5935001D21E}"/>
    <cellStyle name="Normal 6 11" xfId="205" xr:uid="{EACB6400-1611-4E33-9A90-37311AC26C59}"/>
    <cellStyle name="Normal 6 12" xfId="206" xr:uid="{C22B14D3-63AB-42FD-8C04-4423664E3A1E}"/>
    <cellStyle name="Normal 6 13" xfId="207" xr:uid="{B0EE07C8-7E49-4740-BA60-9A6EF18F8457}"/>
    <cellStyle name="Normal 6 2" xfId="208" xr:uid="{8757D3C2-27A0-459E-BCC0-154761D95E2E}"/>
    <cellStyle name="Normal 6 3" xfId="209" xr:uid="{D67C5116-3984-4DAF-B6A3-5BD609F5FECB}"/>
    <cellStyle name="Normal 6 4" xfId="210" xr:uid="{599B2311-0861-49E6-BF7F-F8AC07007777}"/>
    <cellStyle name="Normal 6 5" xfId="211" xr:uid="{F2E206B5-EB8E-45E9-B9E2-754E9C9D7230}"/>
    <cellStyle name="Normal 6 6" xfId="212" xr:uid="{9D18FC7C-31AB-49C1-A41B-0F485F769BFE}"/>
    <cellStyle name="Normal 6 7" xfId="213" xr:uid="{B9F16CCA-5C9D-4187-841B-DABC415A9305}"/>
    <cellStyle name="Normal 6 8" xfId="214" xr:uid="{4B6C82C8-449E-47A4-A82F-E8D7DB349220}"/>
    <cellStyle name="Normal 6 9" xfId="215" xr:uid="{0D72F77C-D22C-4D1E-8291-71EC794D70EC}"/>
    <cellStyle name="Normal 7" xfId="216" xr:uid="{6055D167-4714-4FB4-999A-810F38E5E724}"/>
    <cellStyle name="Normal 7 2" xfId="217" xr:uid="{8343CBC2-12BD-4738-9C1B-19E6A752B687}"/>
    <cellStyle name="Normal 7 3" xfId="218" xr:uid="{78BB7D46-4B84-46B5-ACC8-D13B828BA050}"/>
    <cellStyle name="Normal 8" xfId="219" xr:uid="{51ED8D3A-84FA-407E-B9F7-A593FF898E6C}"/>
    <cellStyle name="Normal 8 2" xfId="220" xr:uid="{F3B6E3B2-9F9A-456F-98A6-09FB96E61743}"/>
    <cellStyle name="Normal 9" xfId="221" xr:uid="{E44AC870-0CA5-4FDE-A5EB-7DC05E603CD9}"/>
    <cellStyle name="Normal 9 2" xfId="222" xr:uid="{9DDD2BE0-5D0E-425F-977D-6DBFAEDC9D43}"/>
    <cellStyle name="Note 2" xfId="223" xr:uid="{BA0CBB83-9458-4C32-B14A-9309F8CBE48E}"/>
    <cellStyle name="Output" xfId="11" builtinId="21" customBuiltin="1"/>
    <cellStyle name="Percent" xfId="2" builtinId="5"/>
    <cellStyle name="Percent 2" xfId="39" xr:uid="{A149FC59-E6BD-4AA7-93EF-4495840A7AAD}"/>
    <cellStyle name="Percent 2 2" xfId="224" xr:uid="{1B71B60A-94C9-4634-BE45-22D07B1755F4}"/>
    <cellStyle name="Percent 2 2 2 2" xfId="238" xr:uid="{C2245987-58C6-41F7-9338-F60C2476FD46}"/>
    <cellStyle name="Percent 2 3" xfId="225" xr:uid="{23BF2C20-095F-4340-89C7-90C7449F72EF}"/>
    <cellStyle name="Percent 3" xfId="44" xr:uid="{A3CE5CE8-2DA0-4AB6-970A-B1334C3090D5}"/>
    <cellStyle name="Percent 3 2" xfId="227" xr:uid="{8B45F4FD-5471-464B-AABC-8470480DE266}"/>
    <cellStyle name="Percent 3 3" xfId="228" xr:uid="{753BFCAB-2582-4C37-8E7A-86EB69A07E1C}"/>
    <cellStyle name="Percent 3 4" xfId="226" xr:uid="{C8E20908-222A-4CD5-9CE3-4B9AD797D8A7}"/>
    <cellStyle name="Percent 4" xfId="229" xr:uid="{909BC117-5E81-43E9-A981-506CB6FE036A}"/>
    <cellStyle name="Percent 4 2" xfId="230" xr:uid="{304D9B0A-416F-4E00-B462-1435AC4D668F}"/>
    <cellStyle name="Percent 5" xfId="231" xr:uid="{C2EB1CF8-3640-4434-92CF-00FF2B55C5CC}"/>
    <cellStyle name="ponsored Aliens" xfId="232" xr:uid="{C70D8B8A-168C-4968-AB5E-803C7DEF750C}"/>
    <cellStyle name="Table Data" xfId="233" xr:uid="{0FC1DC8F-7522-47D4-AA60-0DF80D8DEE1C}"/>
    <cellStyle name="Title 2" xfId="234" xr:uid="{9547AD7D-C1D2-406C-89C0-FABE797AEFAA}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EA4844"/>
      <color rgb="FFFD2B2B"/>
      <color rgb="FFFFE70C"/>
      <color rgb="FF015E7D"/>
      <color rgb="FFFBE34F"/>
      <color rgb="FF193D5E"/>
      <color rgb="FF569EAE"/>
      <color rgb="FFFFD627"/>
      <color rgb="FFAD1F21"/>
      <color rgb="FF122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fi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fi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fi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fi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emf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996043</xdr:colOff>
      <xdr:row>0</xdr:row>
      <xdr:rowOff>0</xdr:rowOff>
    </xdr:from>
    <xdr:to>
      <xdr:col>4</xdr:col>
      <xdr:colOff>586</xdr:colOff>
      <xdr:row>2</xdr:row>
      <xdr:rowOff>10556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65F6B-1413-4200-9318-31580CBB8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8793" y="0"/>
          <a:ext cx="1002072" cy="883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96882</xdr:rowOff>
    </xdr:from>
    <xdr:to>
      <xdr:col>11</xdr:col>
      <xdr:colOff>0</xdr:colOff>
      <xdr:row>2</xdr:row>
      <xdr:rowOff>192568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B6D33-F0ED-4707-B234-FA071FF573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962" t="8139" r="575" b="10785"/>
        <a:stretch/>
      </xdr:blipFill>
      <xdr:spPr>
        <a:xfrm>
          <a:off x="11303000" y="287382"/>
          <a:ext cx="3397250" cy="77831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14</xdr:col>
      <xdr:colOff>0</xdr:colOff>
      <xdr:row>2</xdr:row>
      <xdr:rowOff>170657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08CC51-A919-4EB0-AE6F-8F869CFC3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73" t="-17022" r="-9093" b="-4181"/>
        <a:stretch/>
      </xdr:blipFill>
      <xdr:spPr>
        <a:xfrm>
          <a:off x="14763750" y="190500"/>
          <a:ext cx="3413125" cy="853282"/>
        </a:xfrm>
        <a:prstGeom prst="rect">
          <a:avLst/>
        </a:prstGeom>
      </xdr:spPr>
    </xdr:pic>
    <xdr:clientData/>
  </xdr:twoCellAnchor>
  <xdr:twoCellAnchor editAs="oneCell">
    <xdr:from>
      <xdr:col>15</xdr:col>
      <xdr:colOff>713994</xdr:colOff>
      <xdr:row>0</xdr:row>
      <xdr:rowOff>183188</xdr:rowOff>
    </xdr:from>
    <xdr:to>
      <xdr:col>16</xdr:col>
      <xdr:colOff>364700</xdr:colOff>
      <xdr:row>2</xdr:row>
      <xdr:rowOff>170657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CA4E0C-1AD7-4B23-847B-3CCDE4B2A1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596" b="-6668"/>
        <a:stretch/>
      </xdr:blipFill>
      <xdr:spPr>
        <a:xfrm>
          <a:off x="17627673" y="183188"/>
          <a:ext cx="1514884" cy="858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1535207</xdr:colOff>
      <xdr:row>0</xdr:row>
      <xdr:rowOff>89648</xdr:rowOff>
    </xdr:from>
    <xdr:to>
      <xdr:col>1</xdr:col>
      <xdr:colOff>2281098</xdr:colOff>
      <xdr:row>1</xdr:row>
      <xdr:rowOff>549089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7AFBE8-3548-4D54-90C8-33496440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907" y="89648"/>
          <a:ext cx="745891" cy="64994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96882</xdr:rowOff>
    </xdr:from>
    <xdr:to>
      <xdr:col>8</xdr:col>
      <xdr:colOff>62</xdr:colOff>
      <xdr:row>2</xdr:row>
      <xdr:rowOff>3460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F273A3-8595-4C2C-9AF3-CBFC41A201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962" t="8139" r="575" b="10785"/>
        <a:stretch/>
      </xdr:blipFill>
      <xdr:spPr>
        <a:xfrm>
          <a:off x="6715125" y="287382"/>
          <a:ext cx="2438462" cy="59237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11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9A8C28-7C67-4C79-BF1C-11F25AA997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73" t="-17022" r="-9093" b="-4181"/>
        <a:stretch/>
      </xdr:blipFill>
      <xdr:spPr>
        <a:xfrm>
          <a:off x="9210675" y="190500"/>
          <a:ext cx="2571750" cy="685800"/>
        </a:xfrm>
        <a:prstGeom prst="rect">
          <a:avLst/>
        </a:prstGeom>
      </xdr:spPr>
    </xdr:pic>
    <xdr:clientData/>
  </xdr:twoCellAnchor>
  <xdr:twoCellAnchor editAs="oneCell">
    <xdr:from>
      <xdr:col>12</xdr:col>
      <xdr:colOff>713994</xdr:colOff>
      <xdr:row>0</xdr:row>
      <xdr:rowOff>183188</xdr:rowOff>
    </xdr:from>
    <xdr:to>
      <xdr:col>13</xdr:col>
      <xdr:colOff>428627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3FCB9F-107D-40FC-857C-0A383C24A3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596" b="-6668"/>
        <a:stretch/>
      </xdr:blipFill>
      <xdr:spPr>
        <a:xfrm>
          <a:off x="12553569" y="183188"/>
          <a:ext cx="1229108" cy="693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120065</xdr:colOff>
      <xdr:row>0</xdr:row>
      <xdr:rowOff>116863</xdr:rowOff>
    </xdr:from>
    <xdr:ext cx="649319" cy="649941"/>
    <xdr:pic>
      <xdr:nvPicPr>
        <xdr:cNvPr id="2" name="Picture 1">
          <a:extLst>
            <a:ext uri="{FF2B5EF4-FFF2-40B4-BE49-F238E27FC236}">
              <a16:creationId xmlns:a16="http://schemas.microsoft.com/office/drawing/2014/main" id="{9791E99C-91E5-4952-B8A3-3EE3DC8B3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7279" y="116863"/>
          <a:ext cx="649319" cy="649941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0</xdr:row>
      <xdr:rowOff>119064</xdr:rowOff>
    </xdr:from>
    <xdr:ext cx="3016250" cy="791665"/>
    <xdr:pic>
      <xdr:nvPicPr>
        <xdr:cNvPr id="3" name="Picture 2">
          <a:extLst>
            <a:ext uri="{FF2B5EF4-FFF2-40B4-BE49-F238E27FC236}">
              <a16:creationId xmlns:a16="http://schemas.microsoft.com/office/drawing/2014/main" id="{19A070E6-A8E6-40C0-995F-8DFDB755B7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73" t="-17022" r="-9093" b="-4181"/>
        <a:stretch/>
      </xdr:blipFill>
      <xdr:spPr>
        <a:xfrm>
          <a:off x="7924800" y="119064"/>
          <a:ext cx="3016250" cy="791665"/>
        </a:xfrm>
        <a:prstGeom prst="rect">
          <a:avLst/>
        </a:prstGeom>
      </xdr:spPr>
    </xdr:pic>
    <xdr:clientData/>
  </xdr:oneCellAnchor>
  <xdr:oneCellAnchor>
    <xdr:from>
      <xdr:col>16</xdr:col>
      <xdr:colOff>916784</xdr:colOff>
      <xdr:row>1</xdr:row>
      <xdr:rowOff>0</xdr:rowOff>
    </xdr:from>
    <xdr:ext cx="1215521" cy="687917"/>
    <xdr:pic>
      <xdr:nvPicPr>
        <xdr:cNvPr id="4" name="Picture 3">
          <a:extLst>
            <a:ext uri="{FF2B5EF4-FFF2-40B4-BE49-F238E27FC236}">
              <a16:creationId xmlns:a16="http://schemas.microsoft.com/office/drawing/2014/main" id="{99F49D94-AA32-48FA-B930-E9FB3F9E1F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596" b="-6668"/>
        <a:stretch/>
      </xdr:blipFill>
      <xdr:spPr>
        <a:xfrm>
          <a:off x="10975184" y="190500"/>
          <a:ext cx="1215521" cy="687917"/>
        </a:xfrm>
        <a:prstGeom prst="rect">
          <a:avLst/>
        </a:prstGeom>
      </xdr:spPr>
    </xdr:pic>
    <xdr:clientData/>
  </xdr:oneCellAnchor>
  <xdr:oneCellAnchor>
    <xdr:from>
      <xdr:col>8</xdr:col>
      <xdr:colOff>23812</xdr:colOff>
      <xdr:row>1</xdr:row>
      <xdr:rowOff>0</xdr:rowOff>
    </xdr:from>
    <xdr:ext cx="3016250" cy="732409"/>
    <xdr:pic>
      <xdr:nvPicPr>
        <xdr:cNvPr id="5" name="Picture 4">
          <a:extLst>
            <a:ext uri="{FF2B5EF4-FFF2-40B4-BE49-F238E27FC236}">
              <a16:creationId xmlns:a16="http://schemas.microsoft.com/office/drawing/2014/main" id="{E344901C-91C7-4485-85B3-A52BF52BAB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8139" r="-1456" b="10785"/>
        <a:stretch/>
      </xdr:blipFill>
      <xdr:spPr>
        <a:xfrm>
          <a:off x="5510212" y="190500"/>
          <a:ext cx="3016250" cy="73240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2419671</xdr:colOff>
      <xdr:row>1</xdr:row>
      <xdr:rowOff>48826</xdr:rowOff>
    </xdr:from>
    <xdr:to>
      <xdr:col>4</xdr:col>
      <xdr:colOff>615583</xdr:colOff>
      <xdr:row>2</xdr:row>
      <xdr:rowOff>18410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0FBB9-CD52-4289-A615-4C0F72513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596" y="239326"/>
          <a:ext cx="748612" cy="65538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96882</xdr:rowOff>
    </xdr:from>
    <xdr:to>
      <xdr:col>9</xdr:col>
      <xdr:colOff>63</xdr:colOff>
      <xdr:row>2</xdr:row>
      <xdr:rowOff>3460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BC0168-8F4E-4DBE-9ADB-6B20A198C5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962" t="8139" r="575" b="10785"/>
        <a:stretch/>
      </xdr:blipFill>
      <xdr:spPr>
        <a:xfrm>
          <a:off x="6181725" y="287382"/>
          <a:ext cx="2438463" cy="59237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12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10CE0C-08AA-4FC6-863C-3845FC74F2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73" t="-17022" r="-9093" b="-4181"/>
        <a:stretch/>
      </xdr:blipFill>
      <xdr:spPr>
        <a:xfrm>
          <a:off x="8677275" y="190500"/>
          <a:ext cx="2571750" cy="685800"/>
        </a:xfrm>
        <a:prstGeom prst="rect">
          <a:avLst/>
        </a:prstGeom>
      </xdr:spPr>
    </xdr:pic>
    <xdr:clientData/>
  </xdr:twoCellAnchor>
  <xdr:twoCellAnchor editAs="oneCell">
    <xdr:from>
      <xdr:col>13</xdr:col>
      <xdr:colOff>713994</xdr:colOff>
      <xdr:row>0</xdr:row>
      <xdr:rowOff>183188</xdr:rowOff>
    </xdr:from>
    <xdr:to>
      <xdr:col>14</xdr:col>
      <xdr:colOff>428628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F5EAF2-963F-4265-A2D6-345F54AC29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596" b="-6668"/>
        <a:stretch/>
      </xdr:blipFill>
      <xdr:spPr>
        <a:xfrm>
          <a:off x="12020169" y="183188"/>
          <a:ext cx="1229109" cy="6931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859517</xdr:colOff>
      <xdr:row>1</xdr:row>
      <xdr:rowOff>31750</xdr:rowOff>
    </xdr:from>
    <xdr:to>
      <xdr:col>13</xdr:col>
      <xdr:colOff>383267</xdr:colOff>
      <xdr:row>6</xdr:row>
      <xdr:rowOff>271524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A3593A-BE3B-4D38-AD64-23B29ED14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7067" y="222250"/>
          <a:ext cx="1514475" cy="1230374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0</xdr:row>
      <xdr:rowOff>0</xdr:rowOff>
    </xdr:from>
    <xdr:to>
      <xdr:col>13</xdr:col>
      <xdr:colOff>1588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DF4B9-9336-4277-A1E4-175260FF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0"/>
          <a:ext cx="2001838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857249</xdr:colOff>
      <xdr:row>1</xdr:row>
      <xdr:rowOff>95250</xdr:rowOff>
    </xdr:from>
    <xdr:to>
      <xdr:col>16</xdr:col>
      <xdr:colOff>367393</xdr:colOff>
      <xdr:row>6</xdr:row>
      <xdr:rowOff>310957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10EF42-6E7B-4A0F-9DD6-3316AE22F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73774" y="285750"/>
          <a:ext cx="1377044" cy="1206307"/>
        </a:xfrm>
        <a:prstGeom prst="rect">
          <a:avLst/>
        </a:prstGeom>
      </xdr:spPr>
    </xdr:pic>
    <xdr:clientData/>
  </xdr:twoCellAnchor>
  <xdr:twoCellAnchor editAs="oneCell">
    <xdr:from>
      <xdr:col>9</xdr:col>
      <xdr:colOff>723446</xdr:colOff>
      <xdr:row>1</xdr:row>
      <xdr:rowOff>45357</xdr:rowOff>
    </xdr:from>
    <xdr:to>
      <xdr:col>10</xdr:col>
      <xdr:colOff>435429</xdr:colOff>
      <xdr:row>6</xdr:row>
      <xdr:rowOff>321129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08DE6D-55BA-41AD-BA95-2EDF82B54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201071" y="235857"/>
          <a:ext cx="1578883" cy="1266372"/>
        </a:xfrm>
        <a:prstGeom prst="rect">
          <a:avLst/>
        </a:prstGeom>
      </xdr:spPr>
    </xdr:pic>
    <xdr:clientData/>
  </xdr:twoCellAnchor>
  <xdr:twoCellAnchor editAs="oneCell">
    <xdr:from>
      <xdr:col>1</xdr:col>
      <xdr:colOff>3320143</xdr:colOff>
      <xdr:row>0</xdr:row>
      <xdr:rowOff>0</xdr:rowOff>
    </xdr:from>
    <xdr:to>
      <xdr:col>4</xdr:col>
      <xdr:colOff>176893</xdr:colOff>
      <xdr:row>5</xdr:row>
      <xdr:rowOff>80283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69B78A-62FF-4215-BF86-2D743C1C8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67843" y="0"/>
          <a:ext cx="2990850" cy="8994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624417</xdr:colOff>
      <xdr:row>45</xdr:row>
      <xdr:rowOff>52918</xdr:rowOff>
    </xdr:from>
    <xdr:to>
      <xdr:col>9</xdr:col>
      <xdr:colOff>1005415</xdr:colOff>
      <xdr:row>51</xdr:row>
      <xdr:rowOff>0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63DC4AC5-98FE-422C-A663-28C0DF6EAF59}"/>
            </a:ext>
          </a:extLst>
        </xdr:cNvPr>
        <xdr:cNvSpPr/>
      </xdr:nvSpPr>
      <xdr:spPr>
        <a:xfrm>
          <a:off x="7425267" y="9235018"/>
          <a:ext cx="380998" cy="1023407"/>
        </a:xfrm>
        <a:prstGeom prst="leftBrace">
          <a:avLst>
            <a:gd name="adj1" fmla="val 8333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634999</xdr:colOff>
      <xdr:row>32</xdr:row>
      <xdr:rowOff>42332</xdr:rowOff>
    </xdr:from>
    <xdr:to>
      <xdr:col>10</xdr:col>
      <xdr:colOff>1019175</xdr:colOff>
      <xdr:row>33</xdr:row>
      <xdr:rowOff>200024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6139D335-5A5E-4EE9-8078-2BE14814F4E5}"/>
            </a:ext>
          </a:extLst>
        </xdr:cNvPr>
        <xdr:cNvSpPr/>
      </xdr:nvSpPr>
      <xdr:spPr>
        <a:xfrm>
          <a:off x="8845549" y="6376457"/>
          <a:ext cx="384176" cy="37676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Home/Documents/Kern/NOCC_Coast_Rancho%20Samples%20(C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_NO"/>
      <sheetName val="AllocationModel_NO"/>
      <sheetName val="1. SCFF 2018-2019"/>
      <sheetName val="2. Unrestricted Revenue"/>
      <sheetName val="4, 5. Expenditures"/>
      <sheetName val="6. SCFF Calculator Data"/>
      <sheetName val="Narrative_C"/>
      <sheetName val="AllocationModel_C"/>
      <sheetName val="1. SCFF College Data  (2)"/>
      <sheetName val="2. Unrestricted Revenue (2)"/>
      <sheetName val="4. Expenditures (2)"/>
      <sheetName val="SCFF Calculator District D (2)"/>
      <sheetName val="Rancho Santiago CCD"/>
      <sheetName val="AllocationModel.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9">
          <cell r="J59">
            <v>104023338.79855707</v>
          </cell>
          <cell r="N59">
            <v>62186971.954828009</v>
          </cell>
          <cell r="R59">
            <v>37165739.728829846</v>
          </cell>
          <cell r="V59">
            <v>203376050.48221493</v>
          </cell>
        </row>
      </sheetData>
      <sheetData sheetId="9">
        <row r="50">
          <cell r="E50">
            <v>0</v>
          </cell>
        </row>
        <row r="53">
          <cell r="D53">
            <v>0</v>
          </cell>
          <cell r="G53">
            <v>4831224.1494000005</v>
          </cell>
          <cell r="J53">
            <v>2859252.4103999999</v>
          </cell>
          <cell r="M53">
            <v>1666652.4401999998</v>
          </cell>
          <cell r="P53">
            <v>9357129</v>
          </cell>
        </row>
      </sheetData>
      <sheetData sheetId="10">
        <row r="30">
          <cell r="E30">
            <v>21571089</v>
          </cell>
          <cell r="F30">
            <v>26114063</v>
          </cell>
          <cell r="H30">
            <v>0</v>
          </cell>
          <cell r="K30">
            <v>0</v>
          </cell>
          <cell r="N30">
            <v>0</v>
          </cell>
        </row>
      </sheetData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k Strobel" id="{AF220327-BEC2-2C48-9848-D8FD1F98B2CC}" userId="S::nstrobel@bakersfieldcollege.edu::46fc93d3-def1-4507-91de-4f94e332add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19-10-25T16:46:04.01" personId="{AF220327-BEC2-2C48-9848-D8FD1F98B2CC}" id="{3CF7DA45-A774-8348-B2CA-006A0EE424DE}">
    <text>Santa Ana College</text>
  </threadedComment>
  <threadedComment ref="G4" dT="2019-10-25T16:43:57.36" personId="{AF220327-BEC2-2C48-9848-D8FD1F98B2CC}" id="{96AC5033-A64B-1947-AC8D-922E57DA0D0E}">
    <text>Santiago Canyon College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0B296-D0FB-4397-B9F8-2965E7464F24}">
  <sheetPr>
    <tabColor rgb="FFFFFF00"/>
    <pageSetUpPr fitToPage="1"/>
  </sheetPr>
  <dimension ref="A1:V45"/>
  <sheetViews>
    <sheetView showGridLines="0" zoomScale="81" zoomScaleNormal="60" zoomScaleSheetLayoutView="50" zoomScalePageLayoutView="50" workbookViewId="0">
      <selection activeCell="Q37" sqref="Q37"/>
    </sheetView>
  </sheetViews>
  <sheetFormatPr baseColWidth="10" defaultColWidth="9.1640625" defaultRowHeight="15"/>
  <cols>
    <col min="1" max="1" width="9.6640625" style="602" customWidth="1"/>
    <col min="2" max="2" width="56" customWidth="1"/>
    <col min="3" max="3" width="0.83203125" customWidth="1"/>
    <col min="4" max="4" width="28" bestFit="1" customWidth="1"/>
    <col min="5" max="5" width="19.5" bestFit="1" customWidth="1"/>
    <col min="6" max="6" width="0.83203125" customWidth="1"/>
    <col min="7" max="7" width="29.83203125" style="77" bestFit="1" customWidth="1"/>
    <col min="8" max="8" width="19.5" style="77" bestFit="1" customWidth="1"/>
    <col min="9" max="9" width="0.83203125" customWidth="1"/>
    <col min="10" max="10" width="28" bestFit="1" customWidth="1"/>
    <col min="11" max="11" width="19.33203125" bestFit="1" customWidth="1"/>
    <col min="12" max="12" width="0.83203125" customWidth="1"/>
    <col min="13" max="13" width="29.83203125" bestFit="1" customWidth="1"/>
    <col min="14" max="14" width="17.6640625" bestFit="1" customWidth="1"/>
    <col min="15" max="15" width="0.83203125" customWidth="1"/>
    <col min="16" max="16" width="28" bestFit="1" customWidth="1"/>
    <col min="17" max="17" width="15.5" bestFit="1" customWidth="1"/>
    <col min="18" max="18" width="2.83203125" customWidth="1"/>
    <col min="19" max="19" width="35.83203125" customWidth="1"/>
    <col min="20" max="20" width="4.83203125" customWidth="1"/>
    <col min="21" max="21" width="4.6640625" customWidth="1"/>
    <col min="22" max="22" width="19.83203125" hidden="1" customWidth="1"/>
    <col min="25" max="25" width="12.33203125" bestFit="1" customWidth="1"/>
  </cols>
  <sheetData>
    <row r="1" spans="1:22" ht="15" customHeight="1">
      <c r="A1" s="600"/>
      <c r="B1" s="469"/>
      <c r="C1" s="469"/>
      <c r="D1" s="469"/>
      <c r="E1" s="469"/>
      <c r="F1" s="469"/>
      <c r="G1" s="483"/>
      <c r="H1" s="483"/>
      <c r="I1" s="302"/>
      <c r="J1" s="307"/>
      <c r="K1" s="302"/>
      <c r="L1" s="309"/>
      <c r="M1" s="309"/>
      <c r="N1" s="309"/>
      <c r="O1" s="317"/>
      <c r="P1" s="317"/>
      <c r="Q1" s="317"/>
      <c r="R1" s="263"/>
      <c r="S1" s="263"/>
    </row>
    <row r="2" spans="1:22" ht="54" customHeight="1">
      <c r="A2" s="1110" t="s">
        <v>303</v>
      </c>
      <c r="B2" s="1110"/>
      <c r="C2" s="1110"/>
      <c r="D2" s="1110"/>
      <c r="E2" s="1110"/>
      <c r="F2" s="1110"/>
      <c r="G2" s="1110"/>
      <c r="H2" s="1110"/>
      <c r="I2" s="302"/>
      <c r="J2" s="1112"/>
      <c r="K2" s="1112"/>
      <c r="L2" s="309"/>
      <c r="M2" s="1112"/>
      <c r="N2" s="1112"/>
      <c r="O2" s="317"/>
      <c r="P2" s="1112"/>
      <c r="Q2" s="1112"/>
      <c r="R2" s="263"/>
      <c r="S2" s="614" t="s">
        <v>15</v>
      </c>
    </row>
    <row r="3" spans="1:22" ht="54.75" customHeight="1" thickBot="1">
      <c r="A3" s="1111"/>
      <c r="B3" s="1111"/>
      <c r="C3" s="1111"/>
      <c r="D3" s="1111"/>
      <c r="E3" s="1111"/>
      <c r="F3" s="1111"/>
      <c r="G3" s="1111"/>
      <c r="H3" s="1111"/>
      <c r="I3" s="613"/>
      <c r="J3" s="1113"/>
      <c r="K3" s="1113"/>
      <c r="L3" s="310"/>
      <c r="M3" s="1113"/>
      <c r="N3" s="1113"/>
      <c r="O3" s="317"/>
      <c r="P3" s="1113"/>
      <c r="Q3" s="1113"/>
      <c r="R3" s="263"/>
      <c r="S3" s="473"/>
    </row>
    <row r="4" spans="1:22" ht="3.75" customHeight="1">
      <c r="A4" s="616"/>
      <c r="B4" s="617"/>
      <c r="C4" s="620"/>
      <c r="D4" s="700"/>
      <c r="E4" s="606"/>
      <c r="F4" s="611"/>
      <c r="G4" s="609"/>
      <c r="H4" s="701"/>
      <c r="I4" s="613"/>
      <c r="J4" s="105"/>
      <c r="K4" s="235"/>
      <c r="L4" s="310"/>
      <c r="M4" s="105"/>
      <c r="N4" s="235"/>
      <c r="O4" s="317"/>
      <c r="P4" s="105"/>
      <c r="Q4" s="235"/>
      <c r="R4" s="263"/>
      <c r="S4" s="268"/>
    </row>
    <row r="5" spans="1:22" s="28" customFormat="1" ht="45" customHeight="1">
      <c r="A5" s="1117" t="s">
        <v>263</v>
      </c>
      <c r="B5" s="1117"/>
      <c r="C5" s="619"/>
      <c r="D5" s="687"/>
      <c r="E5" s="688"/>
      <c r="F5" s="689"/>
      <c r="G5" s="702"/>
      <c r="H5" s="703"/>
      <c r="I5" s="660"/>
      <c r="J5" s="691"/>
      <c r="K5" s="626"/>
      <c r="L5" s="652"/>
      <c r="M5" s="691"/>
      <c r="N5" s="626"/>
      <c r="O5" s="692"/>
      <c r="P5" s="691"/>
      <c r="Q5" s="626"/>
      <c r="R5" s="693"/>
      <c r="S5" s="1118"/>
    </row>
    <row r="6" spans="1:22" s="28" customFormat="1" ht="6.75" customHeight="1">
      <c r="A6" s="1117"/>
      <c r="B6" s="1117"/>
      <c r="C6" s="619"/>
      <c r="D6" s="687"/>
      <c r="E6" s="688"/>
      <c r="F6" s="689"/>
      <c r="G6" s="687"/>
      <c r="H6" s="690"/>
      <c r="I6" s="643"/>
      <c r="J6" s="691"/>
      <c r="K6" s="626"/>
      <c r="L6" s="652"/>
      <c r="M6" s="691"/>
      <c r="N6" s="626"/>
      <c r="O6" s="692"/>
      <c r="P6" s="691"/>
      <c r="Q6" s="626"/>
      <c r="R6" s="693"/>
      <c r="S6" s="1118"/>
    </row>
    <row r="7" spans="1:22" s="28" customFormat="1" ht="41.25" customHeight="1">
      <c r="A7" s="1117"/>
      <c r="B7" s="1117"/>
      <c r="C7" s="619"/>
      <c r="D7" s="694" t="s">
        <v>218</v>
      </c>
      <c r="E7" s="695" t="s">
        <v>103</v>
      </c>
      <c r="F7" s="696"/>
      <c r="G7" s="697" t="s">
        <v>308</v>
      </c>
      <c r="H7" s="698" t="s">
        <v>103</v>
      </c>
      <c r="I7" s="643"/>
      <c r="J7" s="699" t="s">
        <v>104</v>
      </c>
      <c r="K7" s="698" t="s">
        <v>103</v>
      </c>
      <c r="L7" s="652"/>
      <c r="M7" s="699" t="s">
        <v>104</v>
      </c>
      <c r="N7" s="698" t="s">
        <v>103</v>
      </c>
      <c r="O7" s="692"/>
      <c r="P7" s="699" t="s">
        <v>104</v>
      </c>
      <c r="Q7" s="698" t="s">
        <v>103</v>
      </c>
      <c r="R7" s="693"/>
      <c r="S7" s="1118"/>
    </row>
    <row r="8" spans="1:22" s="28" customFormat="1" ht="9.75" customHeight="1" thickBot="1">
      <c r="A8" s="467"/>
      <c r="B8" s="467"/>
      <c r="C8" s="618"/>
      <c r="D8" s="468"/>
      <c r="E8" s="463"/>
      <c r="F8" s="612"/>
      <c r="G8" s="241"/>
      <c r="H8" s="463"/>
      <c r="I8" s="462"/>
      <c r="J8" s="240"/>
      <c r="K8" s="463"/>
      <c r="L8" s="464"/>
      <c r="M8" s="240"/>
      <c r="N8" s="463"/>
      <c r="O8" s="474"/>
      <c r="P8" s="240"/>
      <c r="Q8" s="463"/>
      <c r="R8" s="466"/>
      <c r="S8" s="240"/>
    </row>
    <row r="9" spans="1:22" ht="30" customHeight="1">
      <c r="A9" s="1114" t="s">
        <v>268</v>
      </c>
      <c r="B9" s="636"/>
      <c r="C9" s="637"/>
      <c r="D9" s="638"/>
      <c r="E9" s="639"/>
      <c r="F9" s="640"/>
      <c r="G9" s="641"/>
      <c r="H9" s="642"/>
      <c r="I9" s="643"/>
      <c r="J9" s="644"/>
      <c r="K9" s="642"/>
      <c r="L9" s="645"/>
      <c r="M9" s="644"/>
      <c r="N9" s="642"/>
      <c r="O9" s="646"/>
      <c r="P9" s="644"/>
      <c r="Q9" s="642"/>
      <c r="R9" s="647"/>
      <c r="S9" s="648"/>
    </row>
    <row r="10" spans="1:22" ht="18.75" customHeight="1">
      <c r="A10" s="1115"/>
      <c r="B10" s="716" t="s">
        <v>264</v>
      </c>
      <c r="C10" s="649"/>
      <c r="D10" s="650"/>
      <c r="E10" s="717"/>
      <c r="F10" s="718"/>
      <c r="G10" s="651"/>
      <c r="H10" s="719"/>
      <c r="I10" s="720"/>
      <c r="J10" s="721"/>
      <c r="K10" s="719"/>
      <c r="L10" s="722"/>
      <c r="M10" s="721"/>
      <c r="N10" s="719"/>
      <c r="O10" s="723"/>
      <c r="P10" s="724"/>
      <c r="Q10" s="719"/>
      <c r="R10" s="653"/>
      <c r="S10" s="725"/>
      <c r="T10" s="631"/>
    </row>
    <row r="11" spans="1:22" ht="18.75" customHeight="1">
      <c r="A11" s="1115"/>
      <c r="B11" s="654" t="s">
        <v>304</v>
      </c>
      <c r="C11" s="649"/>
      <c r="D11" s="655">
        <v>0</v>
      </c>
      <c r="E11" s="656">
        <f>D11/S11</f>
        <v>0</v>
      </c>
      <c r="F11" s="657"/>
      <c r="G11" s="658">
        <v>0</v>
      </c>
      <c r="H11" s="659">
        <f>G11/S11</f>
        <v>0</v>
      </c>
      <c r="I11" s="713"/>
      <c r="J11" s="658">
        <f>'2. SCFF College Data '!J59</f>
        <v>73083634.297192067</v>
      </c>
      <c r="K11" s="661">
        <f>IFERROR(J11/S11, 0)</f>
        <v>0.36871567077337314</v>
      </c>
      <c r="L11" s="726"/>
      <c r="M11" s="658">
        <f>'2. SCFF College Data '!N59</f>
        <v>101353144.01259795</v>
      </c>
      <c r="N11" s="661">
        <f>IFERROR(M11/S11, 0)</f>
        <v>0.51133872636422983</v>
      </c>
      <c r="O11" s="715"/>
      <c r="P11" s="658">
        <f>'2. SCFF College Data '!R59</f>
        <v>23774580.984759998</v>
      </c>
      <c r="Q11" s="661">
        <f>IFERROR(P11/S11, 0)</f>
        <v>0.11994560286239711</v>
      </c>
      <c r="R11" s="662"/>
      <c r="S11" s="663">
        <f>'2. SCFF College Data '!V59</f>
        <v>198211359.29455</v>
      </c>
      <c r="T11" s="631"/>
      <c r="V11" s="627" t="s">
        <v>264</v>
      </c>
    </row>
    <row r="12" spans="1:22" ht="18.75" customHeight="1">
      <c r="A12" s="1115"/>
      <c r="B12" s="654" t="s">
        <v>265</v>
      </c>
      <c r="C12" s="649"/>
      <c r="D12" s="655">
        <v>0</v>
      </c>
      <c r="E12" s="656">
        <f t="shared" ref="E12:E13" si="0">D12/S12</f>
        <v>0</v>
      </c>
      <c r="F12" s="657"/>
      <c r="G12" s="658">
        <f>'3. Unrestricted Revenue'!E50</f>
        <v>0</v>
      </c>
      <c r="H12" s="659">
        <f t="shared" ref="H12:H13" si="1">G12/S12</f>
        <v>0</v>
      </c>
      <c r="I12" s="713"/>
      <c r="J12" s="658">
        <f>'3. Unrestricted Revenue'!G53</f>
        <v>7346960.9547818108</v>
      </c>
      <c r="K12" s="661">
        <f>IFERROR(J12/S12, 0)</f>
        <v>0.40861426829330588</v>
      </c>
      <c r="L12" s="714"/>
      <c r="M12" s="658">
        <f>'3. Unrestricted Revenue'!J53</f>
        <v>8421269.6297516674</v>
      </c>
      <c r="N12" s="661">
        <f>IFERROR(M12/S12, 0)</f>
        <v>0.46836385126315244</v>
      </c>
      <c r="O12" s="715"/>
      <c r="P12" s="658">
        <f>'3. Unrestricted Revenue'!M53</f>
        <v>2211956.4154665219</v>
      </c>
      <c r="Q12" s="661">
        <f>IFERROR(P12/S12, 0)</f>
        <v>0.12302188044354165</v>
      </c>
      <c r="R12" s="662"/>
      <c r="S12" s="663">
        <f>Unrestricted_Total</f>
        <v>17980187</v>
      </c>
      <c r="T12" s="631"/>
      <c r="V12" s="627"/>
    </row>
    <row r="13" spans="1:22" ht="30" customHeight="1">
      <c r="A13" s="1115"/>
      <c r="B13" s="799" t="s">
        <v>279</v>
      </c>
      <c r="C13" s="800"/>
      <c r="D13" s="813">
        <f>SUM(D11:D12)</f>
        <v>0</v>
      </c>
      <c r="E13" s="814">
        <f t="shared" si="0"/>
        <v>0</v>
      </c>
      <c r="F13" s="815"/>
      <c r="G13" s="816">
        <f>SUM(G11:G12)</f>
        <v>0</v>
      </c>
      <c r="H13" s="817">
        <f t="shared" si="1"/>
        <v>0</v>
      </c>
      <c r="I13" s="806"/>
      <c r="J13" s="807">
        <f>SUM(J11:J12)</f>
        <v>80430595.251973882</v>
      </c>
      <c r="K13" s="808">
        <f>IFERROR(J13/S13, 0)</f>
        <v>0.37203395151441898</v>
      </c>
      <c r="L13" s="809"/>
      <c r="M13" s="807">
        <f>SUM(M11:M12)</f>
        <v>109774413.64234962</v>
      </c>
      <c r="N13" s="808">
        <f>IFERROR(M13/S13, 0)</f>
        <v>0.50776459821785791</v>
      </c>
      <c r="O13" s="810"/>
      <c r="P13" s="807">
        <f>SUM(P11:P12)</f>
        <v>25986537.400226519</v>
      </c>
      <c r="Q13" s="808">
        <f>IFERROR(P13/S13, 0)</f>
        <v>0.12020145026772315</v>
      </c>
      <c r="R13" s="818"/>
      <c r="S13" s="812">
        <f>SUM(S11:S12)</f>
        <v>216191546.29455</v>
      </c>
      <c r="T13" s="631"/>
      <c r="V13" s="627"/>
    </row>
    <row r="14" spans="1:22" ht="18.75" customHeight="1">
      <c r="A14" s="1115"/>
      <c r="B14" s="712"/>
      <c r="C14" s="649"/>
      <c r="D14" s="655"/>
      <c r="E14" s="656"/>
      <c r="F14" s="657"/>
      <c r="G14" s="658"/>
      <c r="H14" s="659"/>
      <c r="I14" s="713"/>
      <c r="J14" s="664"/>
      <c r="K14" s="665"/>
      <c r="L14" s="714"/>
      <c r="M14" s="664"/>
      <c r="N14" s="665"/>
      <c r="O14" s="715"/>
      <c r="P14" s="664"/>
      <c r="Q14" s="665"/>
      <c r="R14" s="662"/>
      <c r="S14" s="666"/>
      <c r="T14" s="631"/>
      <c r="V14" s="627"/>
    </row>
    <row r="15" spans="1:22" ht="18.75" customHeight="1">
      <c r="A15" s="1115"/>
      <c r="B15" s="716"/>
      <c r="C15" s="649"/>
      <c r="D15" s="667"/>
      <c r="E15" s="717"/>
      <c r="F15" s="718"/>
      <c r="G15" s="668"/>
      <c r="H15" s="719"/>
      <c r="I15" s="713"/>
      <c r="J15" s="727"/>
      <c r="K15" s="728"/>
      <c r="L15" s="714"/>
      <c r="M15" s="727"/>
      <c r="N15" s="728"/>
      <c r="O15" s="715"/>
      <c r="P15" s="727"/>
      <c r="Q15" s="728"/>
      <c r="R15" s="662"/>
      <c r="S15" s="729"/>
      <c r="T15" s="631"/>
      <c r="V15" s="627"/>
    </row>
    <row r="16" spans="1:22" ht="18.75" customHeight="1">
      <c r="A16" s="1115"/>
      <c r="B16" s="654" t="s">
        <v>541</v>
      </c>
      <c r="C16" s="649"/>
      <c r="D16" s="655">
        <f>'3. Unrestricted Revenue'!D53</f>
        <v>0</v>
      </c>
      <c r="E16" s="776">
        <f>D16/G16</f>
        <v>0</v>
      </c>
      <c r="F16" s="777"/>
      <c r="G16" s="745">
        <f>S13*H16</f>
        <v>21619154.629455</v>
      </c>
      <c r="H16" s="732">
        <v>0.1</v>
      </c>
      <c r="I16" s="713"/>
      <c r="J16" s="658">
        <f>-(G16*K16)</f>
        <v>-8043059.5251973886</v>
      </c>
      <c r="K16" s="661">
        <f>K13</f>
        <v>0.37203395151441898</v>
      </c>
      <c r="L16" s="714"/>
      <c r="M16" s="658">
        <f>-(G16*N16)</f>
        <v>-10977441.364234962</v>
      </c>
      <c r="N16" s="661">
        <f>N13</f>
        <v>0.50776459821785791</v>
      </c>
      <c r="O16" s="715"/>
      <c r="P16" s="658">
        <f>-(G16*Q16)</f>
        <v>-2598653.7400226519</v>
      </c>
      <c r="Q16" s="661">
        <f>Q13</f>
        <v>0.12020145026772315</v>
      </c>
      <c r="R16" s="662"/>
      <c r="S16" s="663">
        <f>SUM(D16:G16, J16, M16, P16)</f>
        <v>0</v>
      </c>
      <c r="T16" s="631"/>
      <c r="U16" s="583"/>
      <c r="V16" s="629" t="s">
        <v>219</v>
      </c>
    </row>
    <row r="17" spans="1:22" ht="30" customHeight="1">
      <c r="A17" s="1115"/>
      <c r="B17" s="799" t="s">
        <v>278</v>
      </c>
      <c r="C17" s="800"/>
      <c r="D17" s="801">
        <f>SUM(D13, D16)</f>
        <v>0</v>
      </c>
      <c r="E17" s="802">
        <f>D17/G17</f>
        <v>0</v>
      </c>
      <c r="F17" s="803"/>
      <c r="G17" s="804">
        <f>SUM(G13, G16)</f>
        <v>21619154.629455</v>
      </c>
      <c r="H17" s="805">
        <f>IFERROR(G17/S17, 0)</f>
        <v>0.1</v>
      </c>
      <c r="I17" s="806"/>
      <c r="J17" s="807">
        <f>SUM(J13, J16)</f>
        <v>72387535.726776496</v>
      </c>
      <c r="K17" s="808">
        <f>IFERROR(J17/S17, 0)</f>
        <v>0.33483055636297709</v>
      </c>
      <c r="L17" s="809"/>
      <c r="M17" s="807">
        <f>SUM(M13, M16)</f>
        <v>98796972.278114647</v>
      </c>
      <c r="N17" s="808">
        <f>IFERROR(M17/S17, 0)</f>
        <v>0.45698813839607211</v>
      </c>
      <c r="O17" s="810"/>
      <c r="P17" s="807">
        <f>SUM(P13, P16)</f>
        <v>23387883.660203867</v>
      </c>
      <c r="Q17" s="808">
        <f>IFERROR(P17/S17, 0)</f>
        <v>0.10818130524095083</v>
      </c>
      <c r="R17" s="811"/>
      <c r="S17" s="812">
        <f>SUM(S13, S16)</f>
        <v>216191546.29455</v>
      </c>
      <c r="T17" s="632"/>
      <c r="U17" s="583"/>
      <c r="V17" s="629"/>
    </row>
    <row r="18" spans="1:22" ht="18.75" customHeight="1">
      <c r="A18" s="1115"/>
      <c r="B18" s="712"/>
      <c r="C18" s="731"/>
      <c r="D18" s="669"/>
      <c r="E18" s="681"/>
      <c r="F18" s="778"/>
      <c r="G18" s="670"/>
      <c r="H18" s="779"/>
      <c r="I18" s="713"/>
      <c r="J18" s="671"/>
      <c r="K18" s="665"/>
      <c r="L18" s="714"/>
      <c r="M18" s="671"/>
      <c r="N18" s="665"/>
      <c r="O18" s="715"/>
      <c r="P18" s="671"/>
      <c r="Q18" s="665"/>
      <c r="R18" s="672"/>
      <c r="S18" s="673"/>
      <c r="T18" s="632"/>
      <c r="U18" s="583"/>
      <c r="V18" s="629"/>
    </row>
    <row r="19" spans="1:22" ht="18.75" customHeight="1">
      <c r="A19" s="1115"/>
      <c r="B19" s="716"/>
      <c r="C19" s="649"/>
      <c r="D19" s="667"/>
      <c r="E19" s="780"/>
      <c r="F19" s="764"/>
      <c r="G19" s="781"/>
      <c r="H19" s="782"/>
      <c r="I19" s="713"/>
      <c r="J19" s="727"/>
      <c r="K19" s="728"/>
      <c r="L19" s="714"/>
      <c r="M19" s="727"/>
      <c r="N19" s="728"/>
      <c r="O19" s="715"/>
      <c r="P19" s="727"/>
      <c r="Q19" s="728"/>
      <c r="R19" s="662"/>
      <c r="S19" s="729"/>
      <c r="T19" s="632"/>
      <c r="U19" s="583"/>
      <c r="V19" s="629"/>
    </row>
    <row r="20" spans="1:22" ht="18.75" customHeight="1">
      <c r="A20" s="1115"/>
      <c r="B20" s="654" t="s">
        <v>276</v>
      </c>
      <c r="C20" s="649"/>
      <c r="D20" s="655">
        <f>'4. Expenditures'!E30</f>
        <v>11862767</v>
      </c>
      <c r="E20" s="776">
        <f>IFERROR(D20/S17, 0)</f>
        <v>5.4871558131313711E-2</v>
      </c>
      <c r="F20" s="777"/>
      <c r="G20" s="783">
        <f>-(D20*H20)</f>
        <v>-1186276.7</v>
      </c>
      <c r="H20" s="732">
        <f>H17</f>
        <v>0.1</v>
      </c>
      <c r="I20" s="713"/>
      <c r="J20" s="658">
        <f>-(D20*K20)</f>
        <v>-3972016.8746143645</v>
      </c>
      <c r="K20" s="661">
        <f>K17</f>
        <v>0.33483055636297709</v>
      </c>
      <c r="L20" s="714"/>
      <c r="M20" s="658">
        <f>-(D20*N20)</f>
        <v>-5421143.8075563572</v>
      </c>
      <c r="N20" s="661">
        <f>N17</f>
        <v>0.45698813839607211</v>
      </c>
      <c r="O20" s="715"/>
      <c r="P20" s="658">
        <f>-(D20*Q20)</f>
        <v>-1283329.6178292786</v>
      </c>
      <c r="Q20" s="661">
        <f>Q17</f>
        <v>0.10818130524095083</v>
      </c>
      <c r="R20" s="662"/>
      <c r="S20" s="704">
        <f>ROUNDDOWN(SUM(D20:G20, J20, M20, P20), 0)</f>
        <v>0</v>
      </c>
      <c r="T20" s="632"/>
      <c r="U20" s="583"/>
      <c r="V20" s="627" t="s">
        <v>276</v>
      </c>
    </row>
    <row r="21" spans="1:22" ht="30" customHeight="1">
      <c r="A21" s="1115"/>
      <c r="B21" s="799" t="s">
        <v>277</v>
      </c>
      <c r="C21" s="800"/>
      <c r="D21" s="819">
        <f>SUM(D17, D20)</f>
        <v>11862767</v>
      </c>
      <c r="E21" s="820">
        <f>IFERROR(D21/S21, 0)</f>
        <v>5.4871558131313711E-2</v>
      </c>
      <c r="F21" s="803"/>
      <c r="G21" s="804">
        <f>SUM(G17, G20)</f>
        <v>20432877.929455001</v>
      </c>
      <c r="H21" s="821">
        <f>IFERROR(G21/S21, 0)</f>
        <v>9.451284418686863E-2</v>
      </c>
      <c r="I21" s="806"/>
      <c r="J21" s="807">
        <f>SUM(J17, J20)</f>
        <v>68415518.852162138</v>
      </c>
      <c r="K21" s="808">
        <f>IFERROR(J21/S21, 0)</f>
        <v>0.3164578820253659</v>
      </c>
      <c r="L21" s="809"/>
      <c r="M21" s="807">
        <f>SUM(M17, M20)</f>
        <v>93375828.470558286</v>
      </c>
      <c r="N21" s="808">
        <f>IFERROR(M21/S21, 0)</f>
        <v>0.43191248719475117</v>
      </c>
      <c r="O21" s="810"/>
      <c r="P21" s="807">
        <f>SUM(P17, P20)</f>
        <v>22104554.042374589</v>
      </c>
      <c r="Q21" s="808">
        <f>IFERROR(P21/S21, 0)</f>
        <v>0.1022452284617006</v>
      </c>
      <c r="R21" s="811"/>
      <c r="S21" s="812">
        <f>SUM(D21,G21,J21,M21,P21)</f>
        <v>216191546.29455</v>
      </c>
      <c r="T21" s="632"/>
      <c r="U21" s="583"/>
      <c r="V21" s="627"/>
    </row>
    <row r="22" spans="1:22" ht="18.75" customHeight="1" thickBot="1">
      <c r="A22" s="1116"/>
      <c r="B22" s="712"/>
      <c r="C22" s="731"/>
      <c r="D22" s="674"/>
      <c r="E22" s="779"/>
      <c r="F22" s="778"/>
      <c r="G22" s="675"/>
      <c r="H22" s="779"/>
      <c r="I22" s="713"/>
      <c r="J22" s="671"/>
      <c r="K22" s="665"/>
      <c r="L22" s="714"/>
      <c r="M22" s="671"/>
      <c r="N22" s="665"/>
      <c r="O22" s="715"/>
      <c r="P22" s="671"/>
      <c r="Q22" s="665"/>
      <c r="R22" s="672"/>
      <c r="S22" s="673"/>
      <c r="T22" s="632"/>
      <c r="U22" s="583"/>
      <c r="V22" s="627"/>
    </row>
    <row r="23" spans="1:22" s="53" customFormat="1" ht="30" customHeight="1">
      <c r="A23" s="1114" t="s">
        <v>266</v>
      </c>
      <c r="B23" s="733"/>
      <c r="C23" s="734"/>
      <c r="D23" s="676"/>
      <c r="E23" s="735"/>
      <c r="F23" s="736"/>
      <c r="G23" s="676"/>
      <c r="H23" s="735"/>
      <c r="I23" s="737"/>
      <c r="J23" s="677"/>
      <c r="K23" s="738"/>
      <c r="L23" s="739"/>
      <c r="M23" s="677"/>
      <c r="N23" s="738"/>
      <c r="O23" s="740"/>
      <c r="P23" s="677"/>
      <c r="Q23" s="738"/>
      <c r="R23" s="741"/>
      <c r="S23" s="678"/>
      <c r="T23" s="633"/>
      <c r="V23" s="628" t="s">
        <v>280</v>
      </c>
    </row>
    <row r="24" spans="1:22" ht="18.75" customHeight="1">
      <c r="A24" s="1115"/>
      <c r="B24" s="716" t="s">
        <v>266</v>
      </c>
      <c r="C24" s="731"/>
      <c r="D24" s="679"/>
      <c r="E24" s="719"/>
      <c r="F24" s="718"/>
      <c r="G24" s="668"/>
      <c r="H24" s="719"/>
      <c r="I24" s="713"/>
      <c r="J24" s="727"/>
      <c r="K24" s="728"/>
      <c r="L24" s="714"/>
      <c r="M24" s="727"/>
      <c r="N24" s="728"/>
      <c r="O24" s="715"/>
      <c r="P24" s="727"/>
      <c r="Q24" s="728"/>
      <c r="R24" s="662"/>
      <c r="S24" s="729"/>
      <c r="T24" s="631"/>
      <c r="V24" s="629"/>
    </row>
    <row r="25" spans="1:22" ht="18.75" customHeight="1">
      <c r="A25" s="1115"/>
      <c r="B25" s="742" t="s">
        <v>282</v>
      </c>
      <c r="C25" s="731"/>
      <c r="D25" s="730">
        <f>'4. Expenditures'!E30</f>
        <v>11862767</v>
      </c>
      <c r="E25" s="743">
        <f>IFERROR(D25/S25, 0)</f>
        <v>5.6159122678332341E-2</v>
      </c>
      <c r="F25" s="744"/>
      <c r="G25" s="730">
        <f>'4. Expenditures'!F30</f>
        <v>18687474</v>
      </c>
      <c r="H25" s="743">
        <f>IFERROR(G25/S25, 0)</f>
        <v>8.8467736482908746E-2</v>
      </c>
      <c r="I25" s="713"/>
      <c r="J25" s="745">
        <f>'4. Expenditures'!H30</f>
        <v>67435404</v>
      </c>
      <c r="K25" s="743">
        <f>IFERROR(J25/S25, 0)</f>
        <v>0.31924365757996453</v>
      </c>
      <c r="L25" s="746"/>
      <c r="M25" s="745">
        <f>'4. Expenditures'!K30</f>
        <v>92209387</v>
      </c>
      <c r="N25" s="743">
        <f>IFERROR(M25/S25, 0)</f>
        <v>0.4365253297672308</v>
      </c>
      <c r="O25" s="747"/>
      <c r="P25" s="745">
        <f>'4. Expenditures'!N30</f>
        <v>21039874</v>
      </c>
      <c r="Q25" s="743">
        <f>IFERROR(P25/S25, 0)</f>
        <v>9.9604153491563555E-2</v>
      </c>
      <c r="R25" s="680"/>
      <c r="S25" s="748">
        <f>'4. Expenditures'!Restricted_Total</f>
        <v>211234906</v>
      </c>
      <c r="T25" s="631"/>
      <c r="V25" s="629"/>
    </row>
    <row r="26" spans="1:22" ht="30" customHeight="1">
      <c r="A26" s="1115"/>
      <c r="B26" s="799" t="s">
        <v>267</v>
      </c>
      <c r="C26" s="800"/>
      <c r="D26" s="819">
        <f>D25</f>
        <v>11862767</v>
      </c>
      <c r="E26" s="820">
        <f>IFERROR(D26/S26, 0)</f>
        <v>5.6159122678332341E-2</v>
      </c>
      <c r="F26" s="822"/>
      <c r="G26" s="804">
        <f>G25</f>
        <v>18687474</v>
      </c>
      <c r="H26" s="817">
        <f>IFERROR(G26/S26, 0)</f>
        <v>8.8467736482908746E-2</v>
      </c>
      <c r="I26" s="806"/>
      <c r="J26" s="807">
        <f>J25</f>
        <v>67435404</v>
      </c>
      <c r="K26" s="808">
        <f>IFERROR(J26/S26, 0)</f>
        <v>0.31924365757996453</v>
      </c>
      <c r="L26" s="809"/>
      <c r="M26" s="807">
        <f>M25</f>
        <v>92209387</v>
      </c>
      <c r="N26" s="808">
        <f>IFERROR(M26/S26, 0)</f>
        <v>0.4365253297672308</v>
      </c>
      <c r="O26" s="810"/>
      <c r="P26" s="807">
        <f>P25</f>
        <v>21039874</v>
      </c>
      <c r="Q26" s="808">
        <f>IFERROR(P26/S26, 0)</f>
        <v>9.9604153491563555E-2</v>
      </c>
      <c r="R26" s="811"/>
      <c r="S26" s="812">
        <f>S25</f>
        <v>211234906</v>
      </c>
      <c r="T26" s="631"/>
      <c r="V26" s="629"/>
    </row>
    <row r="27" spans="1:22" ht="18.75" customHeight="1" thickBot="1">
      <c r="A27" s="1116"/>
      <c r="B27" s="749"/>
      <c r="C27" s="750"/>
      <c r="D27" s="751"/>
      <c r="E27" s="752"/>
      <c r="F27" s="753"/>
      <c r="G27" s="754"/>
      <c r="H27" s="752"/>
      <c r="I27" s="755"/>
      <c r="J27" s="756"/>
      <c r="K27" s="752"/>
      <c r="L27" s="757"/>
      <c r="M27" s="758"/>
      <c r="N27" s="752"/>
      <c r="O27" s="759"/>
      <c r="P27" s="758"/>
      <c r="Q27" s="752"/>
      <c r="R27" s="682"/>
      <c r="S27" s="760"/>
      <c r="T27" s="634"/>
      <c r="V27" s="629"/>
    </row>
    <row r="28" spans="1:22" s="526" customFormat="1" ht="6.75" customHeight="1">
      <c r="A28" s="683"/>
      <c r="B28" s="761"/>
      <c r="C28" s="791"/>
      <c r="D28" s="762"/>
      <c r="E28" s="763"/>
      <c r="F28" s="764"/>
      <c r="G28" s="765"/>
      <c r="H28" s="763"/>
      <c r="I28" s="737"/>
      <c r="J28" s="765"/>
      <c r="K28" s="763"/>
      <c r="L28" s="739"/>
      <c r="M28" s="765"/>
      <c r="N28" s="765"/>
      <c r="O28" s="740"/>
      <c r="P28" s="765"/>
      <c r="Q28" s="765"/>
      <c r="R28" s="684"/>
      <c r="S28" s="766"/>
      <c r="T28" s="635"/>
      <c r="U28" s="584"/>
      <c r="V28" s="630"/>
    </row>
    <row r="29" spans="1:22" s="526" customFormat="1" ht="30" customHeight="1">
      <c r="A29" s="685"/>
      <c r="B29" s="767" t="s">
        <v>262</v>
      </c>
      <c r="C29" s="792"/>
      <c r="D29" s="790">
        <f>D21-D26</f>
        <v>0</v>
      </c>
      <c r="E29" s="770">
        <f>IFERROR(D29/D17,0)</f>
        <v>0</v>
      </c>
      <c r="F29" s="771"/>
      <c r="G29" s="769">
        <f>G21-G26</f>
        <v>1745403.9294550009</v>
      </c>
      <c r="H29" s="770">
        <f>G29/G17</f>
        <v>8.0734143372885481E-2</v>
      </c>
      <c r="I29" s="772"/>
      <c r="J29" s="768">
        <f>J21-J26</f>
        <v>980114.85216213763</v>
      </c>
      <c r="K29" s="770">
        <f>J29/J13</f>
        <v>1.2185846058848909E-2</v>
      </c>
      <c r="L29" s="773"/>
      <c r="M29" s="768">
        <f>M21-M26</f>
        <v>1166441.4705582857</v>
      </c>
      <c r="N29" s="770">
        <f>M29/M13</f>
        <v>1.0625804610158145E-2</v>
      </c>
      <c r="O29" s="774"/>
      <c r="P29" s="768">
        <f>P21-P26</f>
        <v>1064680.0423745885</v>
      </c>
      <c r="Q29" s="770">
        <f>P29/P13</f>
        <v>4.0970446580747923E-2</v>
      </c>
      <c r="R29" s="686"/>
      <c r="S29" s="775">
        <f>S21-S26</f>
        <v>4956640.2945500016</v>
      </c>
      <c r="T29" s="634"/>
      <c r="U29" s="621"/>
      <c r="V29" s="630"/>
    </row>
    <row r="30" spans="1:22" s="53" customFormat="1" ht="18.75" customHeight="1" thickBot="1">
      <c r="A30" s="601"/>
      <c r="B30" s="604"/>
      <c r="C30" s="604"/>
      <c r="D30" s="604"/>
      <c r="E30" s="604"/>
      <c r="F30" s="604"/>
      <c r="G30" s="604"/>
      <c r="H30" s="604"/>
      <c r="I30" s="597"/>
      <c r="J30" s="607"/>
      <c r="K30" s="608"/>
      <c r="L30" s="598"/>
      <c r="M30" s="603"/>
      <c r="N30" s="603"/>
      <c r="O30" s="599"/>
      <c r="P30" s="603"/>
      <c r="Q30" s="603"/>
      <c r="R30" s="605"/>
      <c r="S30" s="603"/>
      <c r="T30" s="603"/>
      <c r="U30" s="515"/>
    </row>
    <row r="31" spans="1:22" ht="19">
      <c r="A31" s="1114" t="s">
        <v>284</v>
      </c>
      <c r="B31" s="733"/>
      <c r="C31" s="734"/>
      <c r="D31" s="676"/>
      <c r="E31" s="735"/>
      <c r="F31" s="736"/>
      <c r="G31" s="676"/>
      <c r="H31" s="735"/>
      <c r="I31" s="737"/>
      <c r="J31" s="677"/>
      <c r="K31" s="738"/>
      <c r="L31" s="739"/>
      <c r="M31" s="677"/>
      <c r="N31" s="738"/>
      <c r="O31" s="740"/>
      <c r="P31" s="677"/>
      <c r="Q31" s="738"/>
      <c r="R31" s="741"/>
      <c r="S31" s="678"/>
      <c r="T31" s="606"/>
      <c r="V31" s="627" t="s">
        <v>281</v>
      </c>
    </row>
    <row r="32" spans="1:22" ht="19">
      <c r="A32" s="1115"/>
      <c r="B32" s="716" t="s">
        <v>302</v>
      </c>
      <c r="C32" s="731"/>
      <c r="D32" s="679"/>
      <c r="E32" s="719"/>
      <c r="F32" s="718"/>
      <c r="G32" s="668"/>
      <c r="H32" s="719"/>
      <c r="I32" s="713"/>
      <c r="J32" s="727"/>
      <c r="K32" s="728"/>
      <c r="L32" s="714"/>
      <c r="M32" s="727"/>
      <c r="N32" s="728"/>
      <c r="O32" s="715"/>
      <c r="P32" s="727"/>
      <c r="Q32" s="728"/>
      <c r="R32" s="662"/>
      <c r="S32" s="729"/>
      <c r="V32" s="627"/>
    </row>
    <row r="33" spans="1:22" ht="19">
      <c r="A33" s="1115"/>
      <c r="B33" s="742" t="s">
        <v>285</v>
      </c>
      <c r="C33" s="731"/>
      <c r="D33" s="785"/>
      <c r="E33" s="786"/>
      <c r="F33" s="718"/>
      <c r="G33" s="787"/>
      <c r="H33" s="786"/>
      <c r="I33" s="713"/>
      <c r="J33" s="788"/>
      <c r="K33" s="789"/>
      <c r="L33" s="714"/>
      <c r="M33" s="788">
        <v>252499</v>
      </c>
      <c r="N33" s="789"/>
      <c r="O33" s="715"/>
      <c r="P33" s="788">
        <f>-M33</f>
        <v>-252499</v>
      </c>
      <c r="Q33" s="789"/>
      <c r="R33" s="662"/>
      <c r="S33" s="663">
        <f>SUM(D33, G33, J33, M33, P33)</f>
        <v>0</v>
      </c>
      <c r="V33" s="627"/>
    </row>
    <row r="34" spans="1:22" ht="19">
      <c r="A34" s="1115"/>
      <c r="B34" s="654" t="s">
        <v>286</v>
      </c>
      <c r="C34" s="731"/>
      <c r="D34" s="785"/>
      <c r="E34" s="786"/>
      <c r="F34" s="718"/>
      <c r="G34" s="787"/>
      <c r="H34" s="786"/>
      <c r="I34" s="713"/>
      <c r="J34" s="788">
        <v>304836</v>
      </c>
      <c r="K34" s="789"/>
      <c r="L34" s="726"/>
      <c r="M34" s="788"/>
      <c r="N34" s="789"/>
      <c r="O34" s="715"/>
      <c r="P34" s="788">
        <f>-J34</f>
        <v>-304836</v>
      </c>
      <c r="Q34" s="789"/>
      <c r="R34" s="662"/>
      <c r="S34" s="663">
        <f t="shared" ref="S34:S37" si="2">SUM(D34, G34, J34, M34, P34)</f>
        <v>0</v>
      </c>
      <c r="V34" s="627"/>
    </row>
    <row r="35" spans="1:22" ht="19">
      <c r="A35" s="1115"/>
      <c r="B35" s="654" t="s">
        <v>287</v>
      </c>
      <c r="C35" s="731"/>
      <c r="D35" s="730"/>
      <c r="E35" s="743"/>
      <c r="F35" s="744"/>
      <c r="G35" s="730">
        <v>762905</v>
      </c>
      <c r="H35" s="743"/>
      <c r="I35" s="713"/>
      <c r="J35" s="745">
        <v>-100144</v>
      </c>
      <c r="K35" s="743"/>
      <c r="L35" s="746"/>
      <c r="M35" s="745"/>
      <c r="N35" s="743"/>
      <c r="O35" s="747"/>
      <c r="P35" s="745">
        <v>-662761</v>
      </c>
      <c r="Q35" s="743"/>
      <c r="R35" s="680"/>
      <c r="S35" s="663">
        <f t="shared" si="2"/>
        <v>0</v>
      </c>
      <c r="V35" s="627"/>
    </row>
    <row r="36" spans="1:22" ht="19">
      <c r="A36" s="1115"/>
      <c r="B36" s="654" t="s">
        <v>292</v>
      </c>
      <c r="C36" s="731"/>
      <c r="D36" s="730"/>
      <c r="E36" s="743"/>
      <c r="F36" s="744"/>
      <c r="G36" s="730">
        <v>461868</v>
      </c>
      <c r="H36" s="743"/>
      <c r="I36" s="713"/>
      <c r="J36" s="745">
        <v>-161654</v>
      </c>
      <c r="K36" s="743">
        <f>J36/G36</f>
        <v>-0.35000043302415407</v>
      </c>
      <c r="L36" s="746"/>
      <c r="M36" s="745">
        <v>-231858</v>
      </c>
      <c r="N36" s="743">
        <f>M36/G36</f>
        <v>-0.50200057159188338</v>
      </c>
      <c r="O36" s="747"/>
      <c r="P36" s="745">
        <v>-68356</v>
      </c>
      <c r="Q36" s="743">
        <f>P36/G36</f>
        <v>-0.14799899538396252</v>
      </c>
      <c r="R36" s="680"/>
      <c r="S36" s="663">
        <f t="shared" si="2"/>
        <v>0</v>
      </c>
      <c r="V36" s="627"/>
    </row>
    <row r="37" spans="1:22" ht="19">
      <c r="A37" s="1115"/>
      <c r="B37" s="799" t="s">
        <v>288</v>
      </c>
      <c r="C37" s="800"/>
      <c r="D37" s="819"/>
      <c r="E37" s="820"/>
      <c r="F37" s="822"/>
      <c r="G37" s="804">
        <f>SUM(G33:G36)</f>
        <v>1224773</v>
      </c>
      <c r="H37" s="817"/>
      <c r="I37" s="823"/>
      <c r="J37" s="807">
        <f>SUM(J33:J36)</f>
        <v>43038</v>
      </c>
      <c r="K37" s="808"/>
      <c r="L37" s="809"/>
      <c r="M37" s="807">
        <f>SUM(M33:M36)</f>
        <v>20641</v>
      </c>
      <c r="N37" s="808"/>
      <c r="O37" s="824"/>
      <c r="P37" s="807">
        <f>SUM(P33:P36)</f>
        <v>-1288452</v>
      </c>
      <c r="Q37" s="808"/>
      <c r="R37" s="811"/>
      <c r="S37" s="812">
        <f t="shared" si="2"/>
        <v>0</v>
      </c>
      <c r="T37" s="604"/>
      <c r="V37" s="627"/>
    </row>
    <row r="38" spans="1:22" ht="20" thickBot="1">
      <c r="A38" s="1116"/>
      <c r="B38" s="749"/>
      <c r="C38" s="750"/>
      <c r="D38" s="751"/>
      <c r="E38" s="752"/>
      <c r="F38" s="753"/>
      <c r="G38" s="754"/>
      <c r="H38" s="752"/>
      <c r="I38" s="755"/>
      <c r="J38" s="756"/>
      <c r="K38" s="752"/>
      <c r="L38" s="757"/>
      <c r="M38" s="758"/>
      <c r="N38" s="752"/>
      <c r="O38" s="759"/>
      <c r="P38" s="758"/>
      <c r="Q38" s="752"/>
      <c r="R38" s="682"/>
      <c r="S38" s="760"/>
      <c r="T38" s="604"/>
      <c r="V38" s="627"/>
    </row>
    <row r="39" spans="1:22" ht="19">
      <c r="A39" s="683"/>
      <c r="B39" s="761"/>
      <c r="C39" s="791"/>
      <c r="D39" s="762"/>
      <c r="E39" s="763"/>
      <c r="F39" s="764"/>
      <c r="G39" s="765"/>
      <c r="H39" s="763"/>
      <c r="I39" s="737"/>
      <c r="J39" s="765"/>
      <c r="K39" s="763"/>
      <c r="L39" s="739"/>
      <c r="M39" s="765"/>
      <c r="N39" s="765"/>
      <c r="O39" s="740"/>
      <c r="P39" s="765"/>
      <c r="Q39" s="765"/>
      <c r="R39" s="684"/>
      <c r="S39" s="766"/>
      <c r="T39" s="604"/>
    </row>
    <row r="40" spans="1:22" ht="19">
      <c r="A40" s="685"/>
      <c r="B40" s="767" t="s">
        <v>290</v>
      </c>
      <c r="C40" s="792"/>
      <c r="D40" s="769">
        <f>D29+D37</f>
        <v>0</v>
      </c>
      <c r="E40" s="770">
        <f>IFERROR(D40/D17,0)</f>
        <v>0</v>
      </c>
      <c r="F40" s="771"/>
      <c r="G40" s="769">
        <f>G29+G37</f>
        <v>2970176.9294550009</v>
      </c>
      <c r="H40" s="770">
        <f>G40/G17</f>
        <v>0.13738635854929709</v>
      </c>
      <c r="I40" s="772"/>
      <c r="J40" s="768">
        <f>J29+J37</f>
        <v>1023152.8521621376</v>
      </c>
      <c r="K40" s="770">
        <f>J40/J13</f>
        <v>1.272094094239627E-2</v>
      </c>
      <c r="L40" s="773"/>
      <c r="M40" s="768">
        <f>M29+M37</f>
        <v>1187082.4705582857</v>
      </c>
      <c r="N40" s="770">
        <f>M40/M13</f>
        <v>1.0813835676006052E-2</v>
      </c>
      <c r="O40" s="774"/>
      <c r="P40" s="768">
        <f>P29+P37</f>
        <v>-223771.95762541145</v>
      </c>
      <c r="Q40" s="770">
        <f>P40/P13</f>
        <v>-8.6110725018509349E-3</v>
      </c>
      <c r="R40" s="686"/>
      <c r="S40" s="775">
        <f>SUM(D40,G40,J40,M40,P40)</f>
        <v>4956640.2945500128</v>
      </c>
      <c r="T40" s="604"/>
    </row>
    <row r="41" spans="1:22">
      <c r="A41" s="601"/>
      <c r="B41" s="604"/>
      <c r="C41" s="604"/>
      <c r="D41" s="604"/>
      <c r="E41" s="604"/>
      <c r="F41" s="604"/>
      <c r="G41" s="709"/>
      <c r="H41" s="709"/>
      <c r="I41" s="604"/>
      <c r="J41" s="604"/>
      <c r="K41" s="604"/>
      <c r="L41" s="604"/>
      <c r="M41" s="604"/>
      <c r="N41" s="604"/>
      <c r="O41" s="604"/>
      <c r="P41" s="604"/>
      <c r="Q41" s="604"/>
      <c r="R41" s="604"/>
      <c r="S41" s="604"/>
      <c r="T41" s="604"/>
    </row>
    <row r="42" spans="1:22" ht="19">
      <c r="A42" s="601"/>
      <c r="B42" t="s">
        <v>289</v>
      </c>
      <c r="C42" s="604"/>
      <c r="D42" s="604"/>
      <c r="E42" s="604"/>
      <c r="F42" s="604"/>
      <c r="G42" s="709"/>
      <c r="H42" s="709"/>
      <c r="I42" s="604"/>
      <c r="J42" s="710"/>
      <c r="K42" s="705"/>
      <c r="L42" s="706"/>
      <c r="M42" s="710"/>
      <c r="N42" s="705"/>
      <c r="O42" s="707"/>
      <c r="P42" s="710"/>
      <c r="Q42" s="705"/>
      <c r="R42" s="708"/>
      <c r="S42" s="711"/>
      <c r="T42" s="604"/>
    </row>
    <row r="43" spans="1:22">
      <c r="A43" s="601"/>
      <c r="B43" s="604"/>
      <c r="C43" s="604"/>
      <c r="D43" s="604"/>
      <c r="E43" s="604"/>
      <c r="F43" s="604"/>
      <c r="G43" s="709"/>
      <c r="H43" s="709"/>
      <c r="I43" s="604"/>
      <c r="J43" s="604"/>
      <c r="K43" s="604"/>
      <c r="L43" s="604"/>
      <c r="M43" s="604"/>
      <c r="N43" s="604"/>
      <c r="O43" s="604"/>
      <c r="P43" s="604"/>
      <c r="Q43" s="604"/>
      <c r="R43" s="604"/>
      <c r="S43" s="604"/>
      <c r="T43" s="604"/>
    </row>
    <row r="44" spans="1:22">
      <c r="A44" s="601"/>
      <c r="B44" s="604"/>
      <c r="C44" s="604"/>
      <c r="D44" s="604"/>
      <c r="E44" s="604"/>
      <c r="F44" s="604"/>
      <c r="G44" s="709"/>
      <c r="H44" s="709"/>
      <c r="I44" s="604"/>
      <c r="J44" s="604"/>
      <c r="K44" s="604"/>
      <c r="L44" s="604"/>
      <c r="M44" s="604"/>
      <c r="N44" s="604"/>
      <c r="O44" s="604"/>
      <c r="P44" s="604"/>
      <c r="Q44" s="604"/>
      <c r="R44" s="604"/>
      <c r="S44" s="604"/>
      <c r="T44" s="604"/>
    </row>
    <row r="45" spans="1:22" s="502" customFormat="1">
      <c r="A45" s="601"/>
      <c r="G45" s="784"/>
      <c r="H45" s="784"/>
    </row>
  </sheetData>
  <mergeCells count="12">
    <mergeCell ref="A31:A38"/>
    <mergeCell ref="A9:A22"/>
    <mergeCell ref="A5:B7"/>
    <mergeCell ref="S5:S7"/>
    <mergeCell ref="A23:A27"/>
    <mergeCell ref="A2:H3"/>
    <mergeCell ref="J2:K2"/>
    <mergeCell ref="M2:N2"/>
    <mergeCell ref="P2:Q2"/>
    <mergeCell ref="J3:K3"/>
    <mergeCell ref="M3:N3"/>
    <mergeCell ref="P3:Q3"/>
  </mergeCells>
  <printOptions horizontalCentered="1" verticalCentered="1"/>
  <pageMargins left="0.25" right="0.25" top="0.75" bottom="0.75" header="0.3" footer="0.3"/>
  <pageSetup scale="38" fitToHeight="0" orientation="landscape" r:id="rId1"/>
  <headerFooter>
    <oddFooter>&amp;R&amp;12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081C-F182-423A-BC4D-927EA32A9463}">
  <sheetPr codeName="Sheet5">
    <pageSetUpPr fitToPage="1"/>
  </sheetPr>
  <dimension ref="A2:H26"/>
  <sheetViews>
    <sheetView workbookViewId="0"/>
  </sheetViews>
  <sheetFormatPr baseColWidth="10" defaultColWidth="8.83203125" defaultRowHeight="15"/>
  <cols>
    <col min="1" max="1" width="45.6640625" customWidth="1"/>
    <col min="2" max="2" width="10.1640625" customWidth="1"/>
    <col min="3" max="3" width="21.83203125" customWidth="1"/>
    <col min="4" max="4" width="3.5" customWidth="1"/>
    <col min="5" max="5" width="22.5" customWidth="1"/>
    <col min="6" max="6" width="3.5" customWidth="1"/>
    <col min="7" max="7" width="22" customWidth="1"/>
    <col min="8" max="8" width="3.5" customWidth="1"/>
    <col min="9" max="9" width="21.83203125" customWidth="1"/>
  </cols>
  <sheetData>
    <row r="2" spans="1:8" ht="20">
      <c r="A2" s="78" t="s">
        <v>72</v>
      </c>
      <c r="B2" s="81"/>
      <c r="C2" s="81"/>
      <c r="D2" s="81"/>
      <c r="E2" s="81"/>
      <c r="F2" s="81"/>
      <c r="G2" s="81"/>
      <c r="H2" s="81"/>
    </row>
    <row r="3" spans="1:8" ht="20">
      <c r="A3" s="78" t="s">
        <v>73</v>
      </c>
      <c r="B3" s="81"/>
      <c r="C3" s="81"/>
      <c r="D3" s="81"/>
      <c r="E3" s="81"/>
      <c r="F3" s="81"/>
      <c r="G3" s="81"/>
      <c r="H3" s="81"/>
    </row>
    <row r="4" spans="1:8" ht="18">
      <c r="A4" s="79" t="s">
        <v>75</v>
      </c>
      <c r="B4" s="81"/>
      <c r="C4" s="81"/>
      <c r="D4" s="81"/>
      <c r="E4" s="81"/>
      <c r="F4" s="81"/>
      <c r="G4" s="81"/>
      <c r="H4" s="81"/>
    </row>
    <row r="5" spans="1:8" ht="16" thickBot="1">
      <c r="A5" s="2"/>
      <c r="B5" s="2"/>
      <c r="C5" s="2"/>
      <c r="D5" s="2"/>
      <c r="E5" s="2"/>
      <c r="F5" s="2"/>
      <c r="G5" s="2"/>
      <c r="H5" s="2"/>
    </row>
    <row r="6" spans="1:8" ht="52" thickBot="1">
      <c r="A6" s="82" t="s">
        <v>76</v>
      </c>
      <c r="B6" s="83" t="s">
        <v>77</v>
      </c>
      <c r="C6" s="83"/>
      <c r="D6" s="83"/>
      <c r="E6" s="84"/>
      <c r="F6" s="94"/>
      <c r="G6" s="85" t="s">
        <v>74</v>
      </c>
      <c r="H6" s="97"/>
    </row>
    <row r="7" spans="1:8" ht="16">
      <c r="A7" s="86" t="s">
        <v>78</v>
      </c>
      <c r="B7" s="1187" t="s">
        <v>79</v>
      </c>
      <c r="C7" s="1187"/>
      <c r="D7" s="1187"/>
      <c r="E7" s="1187"/>
      <c r="F7" s="95"/>
      <c r="G7" s="80">
        <v>9370182</v>
      </c>
      <c r="H7" s="98"/>
    </row>
    <row r="8" spans="1:8" ht="16">
      <c r="A8" s="87" t="s">
        <v>80</v>
      </c>
      <c r="B8" s="1181">
        <v>960720</v>
      </c>
      <c r="C8" s="1181"/>
      <c r="D8" s="1181"/>
      <c r="E8" s="1181"/>
      <c r="F8" s="96"/>
      <c r="G8" s="88">
        <v>17500</v>
      </c>
      <c r="H8" s="98"/>
    </row>
    <row r="9" spans="1:8" ht="16">
      <c r="A9" s="87" t="s">
        <v>81</v>
      </c>
      <c r="B9" s="1181" t="s">
        <v>82</v>
      </c>
      <c r="C9" s="1181"/>
      <c r="D9" s="1181"/>
      <c r="E9" s="1181"/>
      <c r="F9" s="96"/>
      <c r="G9" s="88">
        <v>2449088</v>
      </c>
      <c r="H9" s="98"/>
    </row>
    <row r="10" spans="1:8" ht="16">
      <c r="A10" s="87" t="s">
        <v>83</v>
      </c>
      <c r="B10" s="1181">
        <v>986710</v>
      </c>
      <c r="C10" s="1181"/>
      <c r="D10" s="1181"/>
      <c r="E10" s="1181"/>
      <c r="F10" s="96"/>
      <c r="G10" s="88">
        <v>50000</v>
      </c>
      <c r="H10" s="98"/>
    </row>
    <row r="11" spans="1:8" ht="16">
      <c r="A11" s="87" t="s">
        <v>84</v>
      </c>
      <c r="B11" s="1181">
        <v>955400</v>
      </c>
      <c r="C11" s="1181"/>
      <c r="D11" s="1181"/>
      <c r="E11" s="1181"/>
      <c r="F11" s="96"/>
      <c r="G11" s="88">
        <v>3137343</v>
      </c>
      <c r="H11" s="98"/>
    </row>
    <row r="12" spans="1:8" ht="16">
      <c r="A12" s="87" t="s">
        <v>85</v>
      </c>
      <c r="B12" s="1181">
        <v>980625</v>
      </c>
      <c r="C12" s="1181"/>
      <c r="D12" s="1181"/>
      <c r="E12" s="1181"/>
      <c r="F12" s="96"/>
      <c r="G12" s="88">
        <v>150000</v>
      </c>
      <c r="H12" s="98"/>
    </row>
    <row r="13" spans="1:8" ht="16">
      <c r="A13" s="87" t="s">
        <v>86</v>
      </c>
      <c r="B13" s="1181">
        <v>986900</v>
      </c>
      <c r="C13" s="1181"/>
      <c r="D13" s="1181"/>
      <c r="E13" s="1181"/>
      <c r="F13" s="96"/>
      <c r="G13" s="88">
        <v>150000</v>
      </c>
      <c r="H13" s="98"/>
    </row>
    <row r="14" spans="1:8" ht="16">
      <c r="A14" s="87" t="s">
        <v>87</v>
      </c>
      <c r="B14" s="1181">
        <v>987000</v>
      </c>
      <c r="C14" s="1181"/>
      <c r="D14" s="1181"/>
      <c r="E14" s="1181"/>
      <c r="F14" s="96"/>
      <c r="G14" s="88">
        <v>123256</v>
      </c>
      <c r="H14" s="98"/>
    </row>
    <row r="15" spans="1:8" ht="16">
      <c r="A15" s="87" t="s">
        <v>88</v>
      </c>
      <c r="B15" s="1181">
        <v>960700</v>
      </c>
      <c r="C15" s="1181"/>
      <c r="D15" s="1181"/>
      <c r="E15" s="1181"/>
      <c r="F15" s="96"/>
      <c r="G15" s="88">
        <v>250000</v>
      </c>
      <c r="H15" s="98"/>
    </row>
    <row r="16" spans="1:8" ht="16">
      <c r="A16" s="87" t="s">
        <v>89</v>
      </c>
      <c r="B16" s="1186">
        <v>9.6071098181598195E+17</v>
      </c>
      <c r="C16" s="1181"/>
      <c r="D16" s="1181"/>
      <c r="E16" s="1181"/>
      <c r="F16" s="96"/>
      <c r="G16" s="88">
        <v>38000</v>
      </c>
      <c r="H16" s="98"/>
    </row>
    <row r="17" spans="1:8" ht="16">
      <c r="A17" s="87" t="s">
        <v>90</v>
      </c>
      <c r="B17" s="1181">
        <v>986600</v>
      </c>
      <c r="C17" s="1181"/>
      <c r="D17" s="1181"/>
      <c r="E17" s="1181"/>
      <c r="F17" s="96"/>
      <c r="G17" s="88">
        <v>267020</v>
      </c>
      <c r="H17" s="98"/>
    </row>
    <row r="18" spans="1:8" ht="16">
      <c r="A18" s="87" t="s">
        <v>91</v>
      </c>
      <c r="B18" s="1186">
        <v>963701963863</v>
      </c>
      <c r="C18" s="1181"/>
      <c r="D18" s="1181"/>
      <c r="E18" s="1181"/>
      <c r="F18" s="96"/>
      <c r="G18" s="88">
        <v>246350</v>
      </c>
      <c r="H18" s="98"/>
    </row>
    <row r="19" spans="1:8" ht="16">
      <c r="A19" s="87" t="s">
        <v>92</v>
      </c>
      <c r="B19" s="1181" t="s">
        <v>93</v>
      </c>
      <c r="C19" s="1181"/>
      <c r="D19" s="1181"/>
      <c r="E19" s="1181"/>
      <c r="F19" s="96"/>
      <c r="G19" s="88">
        <v>513115</v>
      </c>
      <c r="H19" s="98"/>
    </row>
    <row r="20" spans="1:8" ht="16">
      <c r="A20" s="87" t="s">
        <v>94</v>
      </c>
      <c r="B20" s="1185" t="s">
        <v>95</v>
      </c>
      <c r="C20" s="1181"/>
      <c r="D20" s="1181"/>
      <c r="E20" s="1181"/>
      <c r="F20" s="96"/>
      <c r="G20" s="88">
        <v>285600</v>
      </c>
      <c r="H20" s="98"/>
    </row>
    <row r="21" spans="1:8" ht="16">
      <c r="A21" s="87" t="s">
        <v>96</v>
      </c>
      <c r="B21" s="1181">
        <v>980300</v>
      </c>
      <c r="C21" s="1181"/>
      <c r="D21" s="1181"/>
      <c r="E21" s="1181"/>
      <c r="F21" s="96"/>
      <c r="G21" s="88">
        <v>1390000</v>
      </c>
      <c r="H21" s="98"/>
    </row>
    <row r="22" spans="1:8" ht="16">
      <c r="A22" s="87" t="s">
        <v>97</v>
      </c>
      <c r="B22" s="1181" t="s">
        <v>98</v>
      </c>
      <c r="C22" s="1181"/>
      <c r="D22" s="1181"/>
      <c r="E22" s="1181"/>
      <c r="F22" s="96"/>
      <c r="G22" s="88">
        <v>1671600</v>
      </c>
      <c r="H22" s="98"/>
    </row>
    <row r="23" spans="1:8" ht="16">
      <c r="A23" s="87" t="s">
        <v>99</v>
      </c>
      <c r="B23" s="1181">
        <v>980710</v>
      </c>
      <c r="C23" s="1181"/>
      <c r="D23" s="1181"/>
      <c r="E23" s="1181"/>
      <c r="F23" s="96"/>
      <c r="G23" s="88">
        <v>633323</v>
      </c>
      <c r="H23" s="98"/>
    </row>
    <row r="24" spans="1:8" ht="16">
      <c r="A24" s="89" t="s">
        <v>100</v>
      </c>
      <c r="B24" s="1186">
        <v>9.6452096901096906E+23</v>
      </c>
      <c r="C24" s="1181"/>
      <c r="D24" s="1181"/>
      <c r="E24" s="1181"/>
      <c r="F24" s="96"/>
      <c r="G24" s="88">
        <v>384000</v>
      </c>
      <c r="H24" s="98"/>
    </row>
    <row r="25" spans="1:8" ht="17" thickBot="1">
      <c r="A25" s="87" t="s">
        <v>101</v>
      </c>
      <c r="B25" s="1181">
        <v>987800</v>
      </c>
      <c r="C25" s="1181"/>
      <c r="D25" s="1181"/>
      <c r="E25" s="1181"/>
      <c r="F25" s="96"/>
      <c r="G25" s="88">
        <v>349500</v>
      </c>
      <c r="H25" s="98"/>
    </row>
    <row r="26" spans="1:8" ht="16" thickBot="1">
      <c r="A26" s="1182" t="s">
        <v>102</v>
      </c>
      <c r="B26" s="1183"/>
      <c r="C26" s="1183"/>
      <c r="D26" s="1183"/>
      <c r="E26" s="1184"/>
      <c r="F26" s="93"/>
      <c r="G26" s="90">
        <f>SUM(G7:G25)</f>
        <v>21475877</v>
      </c>
      <c r="H26" s="99"/>
    </row>
  </sheetData>
  <mergeCells count="20">
    <mergeCell ref="B18:E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25:E25"/>
    <mergeCell ref="A26:E26"/>
    <mergeCell ref="B19:E19"/>
    <mergeCell ref="B20:E20"/>
    <mergeCell ref="B21:E21"/>
    <mergeCell ref="B22:E22"/>
    <mergeCell ref="B23:E23"/>
    <mergeCell ref="B24:E24"/>
  </mergeCells>
  <pageMargins left="1" right="1" top="1" bottom="1" header="0.5" footer="0.5"/>
  <pageSetup scale="5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4436-04B7-4D07-ACCB-1E12D78A5DFE}">
  <sheetPr codeName="Sheet6">
    <tabColor theme="4" tint="0.79998168889431442"/>
    <pageSetUpPr fitToPage="1"/>
  </sheetPr>
  <dimension ref="A1:AB51"/>
  <sheetViews>
    <sheetView workbookViewId="0">
      <selection sqref="A1:F1"/>
    </sheetView>
  </sheetViews>
  <sheetFormatPr baseColWidth="10" defaultColWidth="9.1640625" defaultRowHeight="15"/>
  <cols>
    <col min="1" max="1" width="15.83203125" customWidth="1"/>
    <col min="2" max="2" width="7.5" customWidth="1"/>
    <col min="3" max="3" width="35" customWidth="1"/>
    <col min="4" max="4" width="4.1640625" customWidth="1"/>
    <col min="5" max="6" width="17.5" customWidth="1"/>
    <col min="7" max="7" width="10.5" customWidth="1"/>
    <col min="8" max="8" width="1.5" customWidth="1"/>
    <col min="9" max="9" width="9.5" style="77" customWidth="1"/>
    <col min="10" max="10" width="18.33203125" style="77" bestFit="1" customWidth="1"/>
    <col min="11" max="11" width="0.83203125" customWidth="1"/>
    <col min="12" max="12" width="16.6640625" customWidth="1"/>
    <col min="13" max="13" width="15.6640625" style="77" customWidth="1"/>
    <col min="15" max="15" width="0.83203125" customWidth="1"/>
    <col min="16" max="16" width="16.6640625" customWidth="1"/>
    <col min="17" max="17" width="16" style="77" customWidth="1"/>
    <col min="19" max="19" width="0.83203125" customWidth="1"/>
    <col min="20" max="20" width="16.6640625" customWidth="1"/>
    <col min="21" max="21" width="16" customWidth="1"/>
    <col min="23" max="23" width="0.83203125" customWidth="1"/>
    <col min="24" max="24" width="16.6640625" hidden="1" customWidth="1"/>
    <col min="25" max="25" width="16" hidden="1" customWidth="1"/>
    <col min="26" max="26" width="0" hidden="1" customWidth="1"/>
    <col min="27" max="27" width="13.5" hidden="1" customWidth="1"/>
    <col min="28" max="28" width="0" hidden="1" customWidth="1"/>
  </cols>
  <sheetData>
    <row r="1" spans="1:27" ht="85.5" customHeight="1" thickBot="1">
      <c r="A1" s="1212" t="s">
        <v>114</v>
      </c>
      <c r="B1" s="1212"/>
      <c r="C1" s="1212"/>
      <c r="D1" s="1212"/>
      <c r="E1" s="1212"/>
      <c r="F1" s="1212"/>
      <c r="G1" s="100"/>
      <c r="H1" s="101"/>
      <c r="I1" s="1132" t="s">
        <v>110</v>
      </c>
      <c r="J1" s="1132"/>
      <c r="L1" s="102" t="s">
        <v>4</v>
      </c>
      <c r="M1" s="103" t="s">
        <v>110</v>
      </c>
      <c r="N1" s="1213" t="s">
        <v>50</v>
      </c>
      <c r="O1" s="23"/>
      <c r="P1" s="102" t="s">
        <v>3</v>
      </c>
      <c r="Q1" s="103" t="s">
        <v>110</v>
      </c>
      <c r="R1" s="1213" t="s">
        <v>52</v>
      </c>
      <c r="T1" s="102" t="s">
        <v>8</v>
      </c>
      <c r="U1" s="103" t="s">
        <v>110</v>
      </c>
      <c r="V1" s="1213" t="s">
        <v>52</v>
      </c>
      <c r="X1" s="24">
        <v>4</v>
      </c>
      <c r="Y1" s="25" t="s">
        <v>51</v>
      </c>
      <c r="Z1" s="1207" t="s">
        <v>52</v>
      </c>
    </row>
    <row r="2" spans="1:27" ht="29">
      <c r="A2" s="104"/>
      <c r="B2" s="105"/>
      <c r="C2" s="105"/>
      <c r="D2" s="105"/>
      <c r="E2" s="105"/>
      <c r="F2" s="105"/>
      <c r="G2" s="105"/>
      <c r="H2" s="105"/>
      <c r="I2" s="106"/>
      <c r="J2" s="106"/>
      <c r="L2" s="105"/>
      <c r="M2" s="106"/>
      <c r="N2" s="1213"/>
      <c r="O2" s="23"/>
      <c r="P2" s="105"/>
      <c r="Q2" s="106"/>
      <c r="R2" s="1213"/>
      <c r="T2" s="105"/>
      <c r="U2" s="106"/>
      <c r="V2" s="1213"/>
      <c r="X2" s="26"/>
      <c r="Y2" s="27"/>
      <c r="Z2" s="1207"/>
    </row>
    <row r="3" spans="1:27" s="28" customFormat="1" ht="21" customHeight="1">
      <c r="A3" s="107"/>
      <c r="D3" s="108"/>
      <c r="E3" s="1208" t="s">
        <v>53</v>
      </c>
      <c r="F3" s="1208"/>
      <c r="G3" s="1208"/>
      <c r="H3" s="1208"/>
      <c r="I3" s="1209" t="s">
        <v>10</v>
      </c>
      <c r="J3" s="1210"/>
      <c r="L3" s="109" t="s">
        <v>53</v>
      </c>
      <c r="M3" s="110" t="s">
        <v>10</v>
      </c>
      <c r="N3" s="1213"/>
      <c r="O3" s="23"/>
      <c r="P3" s="111" t="s">
        <v>53</v>
      </c>
      <c r="Q3" s="110" t="s">
        <v>10</v>
      </c>
      <c r="R3" s="1213"/>
      <c r="T3" s="111" t="s">
        <v>53</v>
      </c>
      <c r="U3" s="110" t="s">
        <v>10</v>
      </c>
      <c r="V3" s="1213"/>
      <c r="X3" s="29" t="s">
        <v>53</v>
      </c>
      <c r="Y3" s="30" t="s">
        <v>10</v>
      </c>
      <c r="Z3" s="1207"/>
    </row>
    <row r="4" spans="1:27" s="28" customFormat="1" ht="47.25" customHeight="1">
      <c r="A4" s="107"/>
      <c r="C4" s="112"/>
      <c r="D4" s="113"/>
      <c r="E4" s="1211" t="s">
        <v>54</v>
      </c>
      <c r="F4" s="1211"/>
      <c r="G4" s="114"/>
      <c r="H4" s="115"/>
      <c r="I4" s="116" t="s">
        <v>55</v>
      </c>
      <c r="J4" s="116" t="s">
        <v>56</v>
      </c>
      <c r="L4" s="117" t="s">
        <v>54</v>
      </c>
      <c r="M4" s="116" t="s">
        <v>56</v>
      </c>
      <c r="N4" s="1213"/>
      <c r="O4" s="23"/>
      <c r="P4" s="117" t="s">
        <v>54</v>
      </c>
      <c r="Q4" s="116" t="s">
        <v>56</v>
      </c>
      <c r="R4" s="1213"/>
      <c r="T4" s="117" t="s">
        <v>54</v>
      </c>
      <c r="U4" s="116" t="s">
        <v>56</v>
      </c>
      <c r="V4" s="1213"/>
      <c r="X4" s="31" t="s">
        <v>54</v>
      </c>
      <c r="Y4" s="32" t="s">
        <v>56</v>
      </c>
      <c r="Z4" s="1207"/>
    </row>
    <row r="5" spans="1:27" s="28" customFormat="1" ht="8.25" customHeight="1" thickBot="1">
      <c r="A5" s="107"/>
      <c r="C5" s="112"/>
      <c r="D5" s="118"/>
      <c r="E5" s="119"/>
      <c r="F5" s="119"/>
      <c r="G5" s="114"/>
      <c r="H5" s="115"/>
      <c r="I5" s="116"/>
      <c r="J5" s="116"/>
      <c r="L5" s="114"/>
      <c r="M5" s="116"/>
      <c r="N5" s="23"/>
      <c r="O5" s="23"/>
      <c r="P5" s="119"/>
      <c r="Q5" s="120"/>
      <c r="R5" s="23"/>
      <c r="T5" s="119"/>
      <c r="U5" s="120"/>
      <c r="V5" s="23"/>
      <c r="X5" s="33"/>
      <c r="Y5" s="34"/>
      <c r="Z5" s="35"/>
    </row>
    <row r="6" spans="1:27" ht="5.25" customHeight="1" thickTop="1" thickBot="1">
      <c r="A6" s="121"/>
      <c r="B6" s="122"/>
      <c r="C6" s="123"/>
      <c r="D6" s="123"/>
      <c r="E6" s="124"/>
      <c r="F6" s="124"/>
      <c r="G6" s="124"/>
      <c r="H6" s="124"/>
      <c r="I6" s="125"/>
      <c r="J6" s="125"/>
      <c r="L6" s="124"/>
      <c r="M6" s="125"/>
      <c r="P6" s="124"/>
      <c r="Q6" s="125"/>
      <c r="T6" s="124"/>
      <c r="U6" s="125"/>
      <c r="X6" s="36"/>
      <c r="Y6" s="37"/>
      <c r="Z6" s="38"/>
    </row>
    <row r="7" spans="1:27" ht="23.25" customHeight="1" thickTop="1">
      <c r="A7" s="126"/>
      <c r="C7" s="127"/>
      <c r="D7" s="127"/>
      <c r="E7" s="1188" t="s">
        <v>105</v>
      </c>
      <c r="F7" s="1188" t="s">
        <v>106</v>
      </c>
      <c r="G7" s="128"/>
      <c r="H7" s="129"/>
      <c r="I7" s="130"/>
      <c r="J7" s="130"/>
      <c r="L7" s="129"/>
      <c r="M7" s="130"/>
      <c r="P7" s="129"/>
      <c r="Q7" s="130"/>
      <c r="T7" s="129"/>
      <c r="U7" s="130"/>
      <c r="X7" s="39"/>
      <c r="Y7" s="40"/>
      <c r="Z7" s="38"/>
    </row>
    <row r="8" spans="1:27" ht="23.25" customHeight="1">
      <c r="A8" s="126"/>
      <c r="C8" s="131"/>
      <c r="D8" s="131"/>
      <c r="E8" s="1189"/>
      <c r="F8" s="1189"/>
      <c r="G8" s="132" t="s">
        <v>109</v>
      </c>
      <c r="H8" s="133"/>
      <c r="I8" s="130"/>
      <c r="J8" s="130"/>
      <c r="L8" s="133"/>
      <c r="M8" s="130"/>
      <c r="P8" s="133"/>
      <c r="Q8" s="130"/>
      <c r="T8" s="133"/>
      <c r="U8" s="130"/>
      <c r="X8" s="92"/>
      <c r="Y8" s="40"/>
      <c r="Z8" s="38"/>
    </row>
    <row r="9" spans="1:27" ht="16">
      <c r="A9" s="1192" t="s">
        <v>5</v>
      </c>
      <c r="B9" s="134"/>
      <c r="C9" s="135" t="s">
        <v>57</v>
      </c>
      <c r="D9" s="136"/>
      <c r="E9" s="137"/>
      <c r="F9" s="138"/>
      <c r="G9" s="139"/>
      <c r="H9" s="140"/>
      <c r="I9" s="141"/>
      <c r="J9" s="137" t="e">
        <f>#REF!</f>
        <v>#REF!</v>
      </c>
      <c r="L9" s="142"/>
      <c r="M9" s="143">
        <f>IFERROR((L11/$F$11)*$J$9,0)</f>
        <v>0</v>
      </c>
      <c r="P9" s="142"/>
      <c r="Q9" s="143">
        <f>IFERROR((P11/$F$11)*$J$9,0)</f>
        <v>0</v>
      </c>
      <c r="T9" s="142"/>
      <c r="U9" s="143">
        <f>IFERROR((T11/$F$11)*$J$9,0)</f>
        <v>0</v>
      </c>
      <c r="X9" s="41"/>
      <c r="Y9" s="42" t="e">
        <f>(X11/$F$11)*$J$9</f>
        <v>#DIV/0!</v>
      </c>
      <c r="Z9" s="38"/>
    </row>
    <row r="10" spans="1:27" ht="21" customHeight="1">
      <c r="A10" s="1192"/>
      <c r="C10" s="144"/>
      <c r="D10" s="144"/>
      <c r="E10" s="1199" t="s">
        <v>58</v>
      </c>
      <c r="F10" s="1200"/>
      <c r="G10" s="145"/>
      <c r="H10" s="146"/>
      <c r="I10" s="147"/>
      <c r="J10" s="130"/>
      <c r="L10" s="148" t="s">
        <v>58</v>
      </c>
      <c r="M10" s="149"/>
      <c r="N10" s="150"/>
      <c r="P10" s="148" t="s">
        <v>58</v>
      </c>
      <c r="Q10" s="149"/>
      <c r="R10" s="150"/>
      <c r="T10" s="148" t="s">
        <v>58</v>
      </c>
      <c r="U10" s="149"/>
      <c r="V10" s="150"/>
      <c r="X10" s="43" t="s">
        <v>58</v>
      </c>
      <c r="Y10" s="44"/>
      <c r="Z10" s="45"/>
      <c r="AA10" s="1" t="s">
        <v>2</v>
      </c>
    </row>
    <row r="11" spans="1:27" ht="16">
      <c r="A11" s="1192"/>
      <c r="C11" s="144" t="s">
        <v>59</v>
      </c>
      <c r="D11" s="144"/>
      <c r="E11" s="151" t="e">
        <f>#REF!</f>
        <v>#REF!</v>
      </c>
      <c r="F11" s="152"/>
      <c r="G11" s="153" t="e">
        <f>F11-E11</f>
        <v>#REF!</v>
      </c>
      <c r="H11" s="154"/>
      <c r="I11" s="141">
        <v>3727</v>
      </c>
      <c r="J11" s="130">
        <f>I11*F11</f>
        <v>0</v>
      </c>
      <c r="L11" s="152"/>
      <c r="M11" s="149">
        <f>$I11*$L11</f>
        <v>0</v>
      </c>
      <c r="N11" s="46">
        <f>IFERROR(L11/$F11,0)</f>
        <v>0</v>
      </c>
      <c r="O11" s="46"/>
      <c r="P11" s="152"/>
      <c r="Q11" s="149">
        <f>$I11*$P11</f>
        <v>0</v>
      </c>
      <c r="R11" s="46">
        <f>IFERROR(P11/$F11,0)</f>
        <v>0</v>
      </c>
      <c r="T11" s="152"/>
      <c r="U11" s="149">
        <f>$I11*$T11</f>
        <v>0</v>
      </c>
      <c r="V11" s="46">
        <f>IFERROR(T11/$F11,0)</f>
        <v>0</v>
      </c>
      <c r="X11" s="47"/>
      <c r="Y11" s="44">
        <f>$I11*$X11</f>
        <v>0</v>
      </c>
      <c r="Z11" s="48" t="e">
        <f>X11/F11</f>
        <v>#DIV/0!</v>
      </c>
      <c r="AA11" s="91">
        <f>T11+P11+L11</f>
        <v>0</v>
      </c>
    </row>
    <row r="12" spans="1:27" ht="16">
      <c r="A12" s="1192"/>
      <c r="C12" s="144" t="s">
        <v>60</v>
      </c>
      <c r="D12" s="144"/>
      <c r="E12" s="151" t="e">
        <f>#REF!</f>
        <v>#REF!</v>
      </c>
      <c r="F12" s="152"/>
      <c r="G12" s="153" t="e">
        <f t="shared" ref="G12:G16" si="0">F12-E12</f>
        <v>#REF!</v>
      </c>
      <c r="H12" s="154"/>
      <c r="I12" s="141">
        <v>5457</v>
      </c>
      <c r="J12" s="130">
        <f t="shared" ref="J12:J14" si="1">I12*F12</f>
        <v>0</v>
      </c>
      <c r="L12" s="152"/>
      <c r="M12" s="149">
        <f t="shared" ref="M12:M14" si="2">$I12*$L12</f>
        <v>0</v>
      </c>
      <c r="N12" s="46">
        <f t="shared" ref="N12:N15" si="3">IFERROR(L12/F12,0)</f>
        <v>0</v>
      </c>
      <c r="O12" s="46"/>
      <c r="P12" s="152"/>
      <c r="Q12" s="149">
        <f t="shared" ref="Q12:Q14" si="4">$I12*$P12</f>
        <v>0</v>
      </c>
      <c r="R12" s="46">
        <f t="shared" ref="R12:R15" si="5">IFERROR(P12/$F12,0)</f>
        <v>0</v>
      </c>
      <c r="T12" s="152"/>
      <c r="U12" s="149">
        <f t="shared" ref="U12:U16" si="6">$I12*$T12</f>
        <v>0</v>
      </c>
      <c r="V12" s="46">
        <f t="shared" ref="V12:V16" si="7">IFERROR(T12/$F12,0)</f>
        <v>0</v>
      </c>
      <c r="X12" s="49"/>
      <c r="Y12" s="50"/>
      <c r="Z12" s="48"/>
      <c r="AA12" s="91">
        <f t="shared" ref="AA12:AA48" si="8">T12+P12+L12</f>
        <v>0</v>
      </c>
    </row>
    <row r="13" spans="1:27" ht="16">
      <c r="A13" s="1192"/>
      <c r="C13" s="155" t="s">
        <v>61</v>
      </c>
      <c r="D13" s="155"/>
      <c r="E13" s="151" t="e">
        <f>#REF!</f>
        <v>#REF!</v>
      </c>
      <c r="F13" s="152"/>
      <c r="G13" s="153" t="e">
        <f t="shared" si="0"/>
        <v>#REF!</v>
      </c>
      <c r="H13" s="154"/>
      <c r="I13" s="141">
        <v>5457</v>
      </c>
      <c r="J13" s="130">
        <f t="shared" si="1"/>
        <v>0</v>
      </c>
      <c r="L13" s="152"/>
      <c r="M13" s="149">
        <f t="shared" si="2"/>
        <v>0</v>
      </c>
      <c r="N13" s="46">
        <f t="shared" si="3"/>
        <v>0</v>
      </c>
      <c r="O13" s="46"/>
      <c r="P13" s="152"/>
      <c r="Q13" s="149">
        <f t="shared" si="4"/>
        <v>0</v>
      </c>
      <c r="R13" s="46">
        <f t="shared" si="5"/>
        <v>0</v>
      </c>
      <c r="T13" s="152"/>
      <c r="U13" s="149">
        <f t="shared" si="6"/>
        <v>0</v>
      </c>
      <c r="V13" s="46">
        <f t="shared" si="7"/>
        <v>0</v>
      </c>
      <c r="X13" s="49"/>
      <c r="Y13" s="50"/>
      <c r="Z13" s="48"/>
      <c r="AA13" s="91">
        <f t="shared" si="8"/>
        <v>0</v>
      </c>
    </row>
    <row r="14" spans="1:27" ht="16">
      <c r="A14" s="1192"/>
      <c r="C14" s="144" t="s">
        <v>62</v>
      </c>
      <c r="D14" s="144"/>
      <c r="E14" s="151" t="e">
        <f>#REF!</f>
        <v>#REF!</v>
      </c>
      <c r="F14" s="152"/>
      <c r="G14" s="153" t="e">
        <f t="shared" si="0"/>
        <v>#REF!</v>
      </c>
      <c r="H14" s="154"/>
      <c r="I14" s="141">
        <v>3347</v>
      </c>
      <c r="J14" s="130">
        <f t="shared" si="1"/>
        <v>0</v>
      </c>
      <c r="L14" s="152"/>
      <c r="M14" s="149">
        <f t="shared" si="2"/>
        <v>0</v>
      </c>
      <c r="N14" s="46">
        <f t="shared" si="3"/>
        <v>0</v>
      </c>
      <c r="O14" s="46"/>
      <c r="P14" s="152"/>
      <c r="Q14" s="149">
        <f t="shared" si="4"/>
        <v>0</v>
      </c>
      <c r="R14" s="46">
        <f t="shared" si="5"/>
        <v>0</v>
      </c>
      <c r="T14" s="152"/>
      <c r="U14" s="149">
        <f t="shared" si="6"/>
        <v>0</v>
      </c>
      <c r="V14" s="46">
        <f t="shared" si="7"/>
        <v>0</v>
      </c>
      <c r="X14" s="47"/>
      <c r="Y14" s="44">
        <f>$I14*$X14</f>
        <v>0</v>
      </c>
      <c r="Z14" s="48" t="e">
        <f>X14/F14</f>
        <v>#DIV/0!</v>
      </c>
      <c r="AA14" s="91">
        <f t="shared" si="8"/>
        <v>0</v>
      </c>
    </row>
    <row r="15" spans="1:27" ht="16">
      <c r="A15" s="1192"/>
      <c r="C15" s="144" t="s">
        <v>63</v>
      </c>
      <c r="D15" s="144"/>
      <c r="E15" s="151" t="e">
        <f>#REF!</f>
        <v>#REF!</v>
      </c>
      <c r="F15" s="152"/>
      <c r="G15" s="153" t="e">
        <f t="shared" si="0"/>
        <v>#REF!</v>
      </c>
      <c r="H15" s="154"/>
      <c r="I15" s="141">
        <v>5457</v>
      </c>
      <c r="J15" s="130">
        <f>I15*F15</f>
        <v>0</v>
      </c>
      <c r="L15" s="152"/>
      <c r="M15" s="149">
        <f>$I15*$L15</f>
        <v>0</v>
      </c>
      <c r="N15" s="46">
        <f t="shared" si="3"/>
        <v>0</v>
      </c>
      <c r="O15" s="46"/>
      <c r="P15" s="152"/>
      <c r="Q15" s="149">
        <f>$I15*$P15</f>
        <v>0</v>
      </c>
      <c r="R15" s="46">
        <f t="shared" si="5"/>
        <v>0</v>
      </c>
      <c r="T15" s="152"/>
      <c r="U15" s="149">
        <f t="shared" si="6"/>
        <v>0</v>
      </c>
      <c r="V15" s="46">
        <f t="shared" si="7"/>
        <v>0</v>
      </c>
      <c r="X15" s="47"/>
      <c r="Y15" s="44">
        <f>$I15*$X15</f>
        <v>0</v>
      </c>
      <c r="Z15" s="48" t="e">
        <f>X15/F15</f>
        <v>#DIV/0!</v>
      </c>
      <c r="AA15" s="91">
        <f t="shared" si="8"/>
        <v>0</v>
      </c>
    </row>
    <row r="16" spans="1:27" ht="16">
      <c r="A16" s="1192"/>
      <c r="C16" s="144" t="s">
        <v>64</v>
      </c>
      <c r="D16" s="156"/>
      <c r="E16" s="151" t="e">
        <f>#REF!</f>
        <v>#REF!</v>
      </c>
      <c r="F16" s="152"/>
      <c r="G16" s="153" t="e">
        <f t="shared" si="0"/>
        <v>#REF!</v>
      </c>
      <c r="H16" s="157"/>
      <c r="I16" s="141">
        <v>3347</v>
      </c>
      <c r="J16" s="130"/>
      <c r="L16" s="158"/>
      <c r="M16" s="149">
        <f>$I16*$L16</f>
        <v>0</v>
      </c>
      <c r="N16" s="46"/>
      <c r="O16" s="46"/>
      <c r="P16" s="152"/>
      <c r="Q16" s="149">
        <f>$I16*$P16</f>
        <v>0</v>
      </c>
      <c r="R16" s="46"/>
      <c r="T16" s="152"/>
      <c r="U16" s="149">
        <f t="shared" si="6"/>
        <v>0</v>
      </c>
      <c r="V16" s="46">
        <f t="shared" si="7"/>
        <v>0</v>
      </c>
      <c r="X16" s="51"/>
      <c r="Y16" s="50"/>
      <c r="Z16" s="48"/>
      <c r="AA16" s="91">
        <f t="shared" si="8"/>
        <v>0</v>
      </c>
    </row>
    <row r="17" spans="1:28" s="53" customFormat="1" ht="16" thickBot="1">
      <c r="A17" s="1198"/>
      <c r="B17" s="159"/>
      <c r="C17" s="1125" t="s">
        <v>15</v>
      </c>
      <c r="D17" s="1201"/>
      <c r="E17" s="160" t="e">
        <f t="shared" ref="E17:F17" si="9">SUM(E11:E16)</f>
        <v>#REF!</v>
      </c>
      <c r="F17" s="161">
        <f t="shared" si="9"/>
        <v>0</v>
      </c>
      <c r="G17" s="162"/>
      <c r="H17" s="163"/>
      <c r="I17" s="164"/>
      <c r="J17" s="165" t="e">
        <f>SUM(J9:J16)</f>
        <v>#REF!</v>
      </c>
      <c r="L17" s="166">
        <f t="shared" ref="L17" si="10">SUM(L11:L16)</f>
        <v>0</v>
      </c>
      <c r="M17" s="167">
        <f>SUM(M9:M16)</f>
        <v>0</v>
      </c>
      <c r="N17" s="168" t="e">
        <f>L17/$F17</f>
        <v>#DIV/0!</v>
      </c>
      <c r="O17" s="52"/>
      <c r="P17" s="169">
        <f t="shared" ref="P17" si="11">SUM(P11:P16)</f>
        <v>0</v>
      </c>
      <c r="Q17" s="167">
        <f>SUM(Q9:Q16)</f>
        <v>0</v>
      </c>
      <c r="R17" s="168" t="e">
        <f>P17/$F17</f>
        <v>#DIV/0!</v>
      </c>
      <c r="T17" s="169">
        <f t="shared" ref="T17" si="12">SUM(T11:T16)</f>
        <v>0</v>
      </c>
      <c r="U17" s="167">
        <f>SUM(U9:U16)</f>
        <v>0</v>
      </c>
      <c r="V17" s="168" t="e">
        <f>T17/$F17</f>
        <v>#DIV/0!</v>
      </c>
      <c r="X17" s="54">
        <f t="shared" ref="X17" si="13">SUM(X11:X16)</f>
        <v>0</v>
      </c>
      <c r="Y17" s="55" t="e">
        <f>SUM(Y9:Y16)</f>
        <v>#DIV/0!</v>
      </c>
      <c r="Z17" s="56" t="e">
        <f>X17/F17</f>
        <v>#DIV/0!</v>
      </c>
      <c r="AA17" s="91">
        <f t="shared" si="8"/>
        <v>0</v>
      </c>
    </row>
    <row r="18" spans="1:28" ht="25.5" customHeight="1">
      <c r="A18" s="1202" t="s">
        <v>6</v>
      </c>
      <c r="B18" s="170"/>
      <c r="C18" s="171"/>
      <c r="D18" s="172"/>
      <c r="E18" s="1203" t="s">
        <v>107</v>
      </c>
      <c r="F18" s="1204"/>
      <c r="G18" s="173"/>
      <c r="H18" s="174"/>
      <c r="I18" s="175"/>
      <c r="J18" s="176"/>
      <c r="L18" s="177" t="s">
        <v>0</v>
      </c>
      <c r="M18" s="175"/>
      <c r="N18" s="46"/>
      <c r="O18" s="46"/>
      <c r="P18" s="177" t="s">
        <v>0</v>
      </c>
      <c r="Q18" s="175"/>
      <c r="R18" s="46"/>
      <c r="T18" s="177" t="s">
        <v>0</v>
      </c>
      <c r="U18" s="175"/>
      <c r="V18" s="178"/>
      <c r="X18" s="57" t="s">
        <v>0</v>
      </c>
      <c r="Y18" s="58"/>
      <c r="Z18" s="59"/>
      <c r="AA18" s="91" t="e">
        <f t="shared" si="8"/>
        <v>#VALUE!</v>
      </c>
    </row>
    <row r="19" spans="1:28" ht="15" customHeight="1">
      <c r="A19" s="1192"/>
      <c r="C19" s="155" t="s">
        <v>27</v>
      </c>
      <c r="D19" s="179"/>
      <c r="E19" s="154" t="e">
        <f>#REF!</f>
        <v>#REF!</v>
      </c>
      <c r="F19" s="180"/>
      <c r="G19" s="153" t="e">
        <f>F19-E19</f>
        <v>#REF!</v>
      </c>
      <c r="H19" s="181"/>
      <c r="I19" s="141">
        <v>919</v>
      </c>
      <c r="J19" s="182">
        <f>I19*F19</f>
        <v>0</v>
      </c>
      <c r="K19" s="183"/>
      <c r="L19" s="180"/>
      <c r="M19" s="149">
        <f>$I19*$L19</f>
        <v>0</v>
      </c>
      <c r="N19" s="46">
        <f>IFERROR(L19/$F19,0)</f>
        <v>0</v>
      </c>
      <c r="O19" s="60"/>
      <c r="P19" s="180"/>
      <c r="Q19" s="149">
        <f>$I19*$P19</f>
        <v>0</v>
      </c>
      <c r="R19" s="46">
        <f>IFERROR(P19/$F19,0)</f>
        <v>0</v>
      </c>
      <c r="T19" s="180"/>
      <c r="U19" s="149">
        <f>$I19*$T19</f>
        <v>0</v>
      </c>
      <c r="V19" s="46">
        <f>IFERROR(T19/$F19,0)</f>
        <v>0</v>
      </c>
      <c r="X19" s="61"/>
      <c r="Y19" s="44">
        <f>$I19*$X19</f>
        <v>0</v>
      </c>
      <c r="Z19" s="48" t="e">
        <f>X19/F19</f>
        <v>#DIV/0!</v>
      </c>
      <c r="AA19" s="91">
        <f t="shared" si="8"/>
        <v>0</v>
      </c>
    </row>
    <row r="20" spans="1:28" ht="15" customHeight="1">
      <c r="A20" s="1192"/>
      <c r="C20" s="184" t="s">
        <v>65</v>
      </c>
      <c r="D20" s="184"/>
      <c r="E20" s="154" t="e">
        <f>#REF!</f>
        <v>#REF!</v>
      </c>
      <c r="F20" s="180"/>
      <c r="G20" s="153" t="e">
        <f t="shared" ref="G20:G21" si="14">F20-E20</f>
        <v>#REF!</v>
      </c>
      <c r="H20" s="181"/>
      <c r="I20" s="141">
        <v>919</v>
      </c>
      <c r="J20" s="182">
        <f>I20*F20</f>
        <v>0</v>
      </c>
      <c r="K20" s="183"/>
      <c r="L20" s="180"/>
      <c r="M20" s="149">
        <f>$I20*$L20</f>
        <v>0</v>
      </c>
      <c r="N20" s="46">
        <f t="shared" ref="N20:N21" si="15">IFERROR(L20/F20,0)</f>
        <v>0</v>
      </c>
      <c r="O20" s="60"/>
      <c r="P20" s="180"/>
      <c r="Q20" s="149">
        <f>$I20*$P20</f>
        <v>0</v>
      </c>
      <c r="R20" s="46">
        <f t="shared" ref="R20:R21" si="16">IFERROR(P20/$F20,0)</f>
        <v>0</v>
      </c>
      <c r="T20" s="180"/>
      <c r="U20" s="149">
        <f t="shared" ref="U20:U21" si="17">$I20*$T20</f>
        <v>0</v>
      </c>
      <c r="V20" s="46">
        <f t="shared" ref="V20:V21" si="18">IFERROR(T20/$F20,0)</f>
        <v>0</v>
      </c>
      <c r="X20" s="61"/>
      <c r="Y20" s="44">
        <f>$I20*$X20</f>
        <v>0</v>
      </c>
      <c r="Z20" s="48"/>
      <c r="AA20" s="91">
        <f t="shared" si="8"/>
        <v>0</v>
      </c>
    </row>
    <row r="21" spans="1:28" ht="15" customHeight="1">
      <c r="A21" s="1192"/>
      <c r="C21" s="155" t="s">
        <v>29</v>
      </c>
      <c r="D21" s="155"/>
      <c r="E21" s="154" t="e">
        <f>#REF!</f>
        <v>#REF!</v>
      </c>
      <c r="F21" s="180"/>
      <c r="G21" s="153" t="e">
        <f t="shared" si="14"/>
        <v>#REF!</v>
      </c>
      <c r="H21" s="185"/>
      <c r="I21" s="141">
        <v>919</v>
      </c>
      <c r="J21" s="182">
        <f>I21*F21</f>
        <v>0</v>
      </c>
      <c r="K21" s="183"/>
      <c r="L21" s="180"/>
      <c r="M21" s="149">
        <f>$I21*$L21</f>
        <v>0</v>
      </c>
      <c r="N21" s="46">
        <f t="shared" si="15"/>
        <v>0</v>
      </c>
      <c r="O21" s="60"/>
      <c r="P21" s="180"/>
      <c r="Q21" s="149">
        <f>$I21*$P21</f>
        <v>0</v>
      </c>
      <c r="R21" s="46">
        <f t="shared" si="16"/>
        <v>0</v>
      </c>
      <c r="T21" s="180"/>
      <c r="U21" s="149">
        <f t="shared" si="17"/>
        <v>0</v>
      </c>
      <c r="V21" s="46">
        <f t="shared" si="18"/>
        <v>0</v>
      </c>
      <c r="X21" s="61"/>
      <c r="Y21" s="44">
        <f>$I21*$X21</f>
        <v>0</v>
      </c>
      <c r="Z21" s="48" t="e">
        <f>X21/F21</f>
        <v>#DIV/0!</v>
      </c>
      <c r="AA21" s="91">
        <f t="shared" si="8"/>
        <v>0</v>
      </c>
    </row>
    <row r="22" spans="1:28" s="53" customFormat="1" ht="15.75" customHeight="1" thickBot="1">
      <c r="A22" s="1198"/>
      <c r="B22" s="186"/>
      <c r="C22" s="1125" t="s">
        <v>15</v>
      </c>
      <c r="D22" s="1201"/>
      <c r="E22" s="166" t="e">
        <f>SUM(E19:E21)</f>
        <v>#REF!</v>
      </c>
      <c r="F22" s="166">
        <f>SUM(F19:F21)</f>
        <v>0</v>
      </c>
      <c r="G22" s="187"/>
      <c r="H22" s="188"/>
      <c r="I22" s="164"/>
      <c r="J22" s="189">
        <f>SUM(J19:J21)</f>
        <v>0</v>
      </c>
      <c r="K22" s="190"/>
      <c r="L22" s="166">
        <f>SUM(L19:L21)</f>
        <v>0</v>
      </c>
      <c r="M22" s="167">
        <f>SUM(M19:M21)</f>
        <v>0</v>
      </c>
      <c r="N22" s="168" t="e">
        <f>L22/$F22</f>
        <v>#DIV/0!</v>
      </c>
      <c r="O22" s="62"/>
      <c r="P22" s="166">
        <f>SUM(P19:P21)</f>
        <v>0</v>
      </c>
      <c r="Q22" s="192">
        <f>SUM(Q19:Q21)</f>
        <v>0</v>
      </c>
      <c r="R22" s="168" t="e">
        <f>P22/$F22</f>
        <v>#DIV/0!</v>
      </c>
      <c r="T22" s="166">
        <f>SUM(T19:T21)</f>
        <v>0</v>
      </c>
      <c r="U22" s="192">
        <f>SUM(U19:U21)</f>
        <v>0</v>
      </c>
      <c r="V22" s="168" t="e">
        <f>T22/$F22</f>
        <v>#DIV/0!</v>
      </c>
      <c r="X22" s="54">
        <f>SUM(X19:X21)</f>
        <v>0</v>
      </c>
      <c r="Y22" s="63">
        <f>SUM(Y19:Y21)</f>
        <v>0</v>
      </c>
      <c r="Z22" s="56" t="e">
        <f>X22/F22</f>
        <v>#DIV/0!</v>
      </c>
      <c r="AA22" s="91">
        <f t="shared" si="8"/>
        <v>0</v>
      </c>
    </row>
    <row r="23" spans="1:28" ht="26.25" customHeight="1">
      <c r="A23" s="1192" t="s">
        <v>7</v>
      </c>
      <c r="B23" s="193"/>
      <c r="C23" s="171"/>
      <c r="D23" s="172"/>
      <c r="E23" s="1193" t="s">
        <v>108</v>
      </c>
      <c r="F23" s="1194"/>
      <c r="G23" s="194"/>
      <c r="H23" s="195"/>
      <c r="I23" s="196"/>
      <c r="J23" s="130"/>
      <c r="L23" s="197" t="s">
        <v>1</v>
      </c>
      <c r="M23" s="175"/>
      <c r="N23" s="46"/>
      <c r="O23" s="46"/>
      <c r="P23" s="198" t="s">
        <v>1</v>
      </c>
      <c r="Q23" s="175"/>
      <c r="R23" s="46"/>
      <c r="T23" s="198" t="s">
        <v>1</v>
      </c>
      <c r="U23" s="175"/>
      <c r="V23" s="178"/>
      <c r="X23" s="64" t="s">
        <v>1</v>
      </c>
      <c r="Y23" s="58"/>
      <c r="Z23" s="59"/>
      <c r="AA23" s="91" t="e">
        <f t="shared" si="8"/>
        <v>#VALUE!</v>
      </c>
    </row>
    <row r="24" spans="1:28" ht="16">
      <c r="A24" s="1192"/>
      <c r="B24" s="1128" t="s">
        <v>30</v>
      </c>
      <c r="C24" s="199" t="s">
        <v>31</v>
      </c>
      <c r="D24" s="200"/>
      <c r="E24" s="154" t="e">
        <f>#REF!</f>
        <v>#REF!</v>
      </c>
      <c r="F24" s="201"/>
      <c r="G24" s="153" t="e">
        <f>F24-E24</f>
        <v>#REF!</v>
      </c>
      <c r="H24" s="154"/>
      <c r="I24" s="141">
        <v>1320</v>
      </c>
      <c r="J24" s="130">
        <f>I24*F24</f>
        <v>0</v>
      </c>
      <c r="L24" s="202"/>
      <c r="M24" s="149">
        <f>$I24*$L24</f>
        <v>0</v>
      </c>
      <c r="N24" s="46">
        <f>IFERROR(L24/$F24,0)</f>
        <v>0</v>
      </c>
      <c r="O24" s="46"/>
      <c r="P24" s="201"/>
      <c r="Q24" s="149">
        <f>$I24*$P24</f>
        <v>0</v>
      </c>
      <c r="R24" s="46">
        <f>IFERROR(P24/$F24,0)</f>
        <v>0</v>
      </c>
      <c r="T24" s="201"/>
      <c r="U24" s="149">
        <f>$I24*$T24</f>
        <v>0</v>
      </c>
      <c r="V24" s="46">
        <f>IFERROR(T24/$F24,0)</f>
        <v>0</v>
      </c>
      <c r="X24" s="65"/>
      <c r="Y24" s="44">
        <f>$I24*$X24</f>
        <v>0</v>
      </c>
      <c r="Z24" s="48" t="e">
        <f t="shared" ref="Z24:Z37" si="19">X24/F24</f>
        <v>#DIV/0!</v>
      </c>
      <c r="AA24" s="91">
        <f t="shared" si="8"/>
        <v>0</v>
      </c>
      <c r="AB24" s="91">
        <f>AA24-F24</f>
        <v>0</v>
      </c>
    </row>
    <row r="25" spans="1:28">
      <c r="A25" s="1192"/>
      <c r="B25" s="1128"/>
      <c r="C25" s="1139" t="s">
        <v>33</v>
      </c>
      <c r="D25" s="1143"/>
      <c r="E25" s="154" t="e">
        <f>#REF!</f>
        <v>#REF!</v>
      </c>
      <c r="F25" s="201"/>
      <c r="G25" s="153" t="e">
        <f t="shared" ref="G25:G30" si="20">F25-E25</f>
        <v>#REF!</v>
      </c>
      <c r="H25" s="154"/>
      <c r="I25" s="141">
        <v>1760</v>
      </c>
      <c r="J25" s="130">
        <f>I25*F25</f>
        <v>0</v>
      </c>
      <c r="L25" s="202"/>
      <c r="M25" s="149">
        <f>$I25*$L25</f>
        <v>0</v>
      </c>
      <c r="N25" s="46">
        <f t="shared" ref="N25:N29" si="21">IFERROR(L25/F25,0)</f>
        <v>0</v>
      </c>
      <c r="O25" s="46"/>
      <c r="P25" s="201"/>
      <c r="Q25" s="149">
        <f>$I25*$P25</f>
        <v>0</v>
      </c>
      <c r="R25" s="46">
        <f t="shared" ref="R25:R29" si="22">IFERROR(P25/$F25,0)</f>
        <v>0</v>
      </c>
      <c r="T25" s="201"/>
      <c r="U25" s="149">
        <f>$I25*$T25</f>
        <v>0</v>
      </c>
      <c r="V25" s="46">
        <f t="shared" ref="V25:V29" si="23">IFERROR(T25/$F25,0)</f>
        <v>0</v>
      </c>
      <c r="X25" s="65"/>
      <c r="Y25" s="44">
        <f>$I25*$X25</f>
        <v>0</v>
      </c>
      <c r="Z25" s="48" t="e">
        <f t="shared" si="19"/>
        <v>#DIV/0!</v>
      </c>
      <c r="AA25" s="91">
        <f t="shared" si="8"/>
        <v>0</v>
      </c>
      <c r="AB25" s="91">
        <f t="shared" ref="AB25:AB48" si="24">AA25-F25</f>
        <v>0</v>
      </c>
    </row>
    <row r="26" spans="1:28" ht="16">
      <c r="A26" s="1192"/>
      <c r="B26" s="1128"/>
      <c r="C26" s="199" t="s">
        <v>34</v>
      </c>
      <c r="D26" s="200"/>
      <c r="E26" s="154" t="e">
        <f>#REF!</f>
        <v>#REF!</v>
      </c>
      <c r="F26" s="201"/>
      <c r="G26" s="153" t="e">
        <f t="shared" si="20"/>
        <v>#REF!</v>
      </c>
      <c r="H26" s="154"/>
      <c r="I26" s="141">
        <v>880</v>
      </c>
      <c r="J26" s="130">
        <f>I26*F26</f>
        <v>0</v>
      </c>
      <c r="L26" s="202"/>
      <c r="M26" s="149">
        <f>$I26*$L26</f>
        <v>0</v>
      </c>
      <c r="N26" s="46">
        <f t="shared" si="21"/>
        <v>0</v>
      </c>
      <c r="O26" s="46"/>
      <c r="P26" s="201"/>
      <c r="Q26" s="149">
        <f>$I26*$P26</f>
        <v>0</v>
      </c>
      <c r="R26" s="46">
        <f t="shared" si="22"/>
        <v>0</v>
      </c>
      <c r="T26" s="201"/>
      <c r="U26" s="149">
        <f>$I26*$T26</f>
        <v>0</v>
      </c>
      <c r="V26" s="46">
        <f t="shared" si="23"/>
        <v>0</v>
      </c>
      <c r="X26" s="65"/>
      <c r="Y26" s="44">
        <f>$I26*$X26</f>
        <v>0</v>
      </c>
      <c r="Z26" s="48" t="e">
        <f t="shared" si="19"/>
        <v>#DIV/0!</v>
      </c>
      <c r="AA26" s="91">
        <f t="shared" si="8"/>
        <v>0</v>
      </c>
      <c r="AB26" s="91">
        <f t="shared" si="24"/>
        <v>0</v>
      </c>
    </row>
    <row r="27" spans="1:28" ht="16">
      <c r="A27" s="1192"/>
      <c r="B27" s="1128"/>
      <c r="C27" s="199" t="s">
        <v>35</v>
      </c>
      <c r="D27" s="200"/>
      <c r="E27" s="154" t="e">
        <f>#REF!</f>
        <v>#REF!</v>
      </c>
      <c r="F27" s="201"/>
      <c r="G27" s="153" t="e">
        <f t="shared" si="20"/>
        <v>#REF!</v>
      </c>
      <c r="H27" s="154"/>
      <c r="I27" s="141">
        <v>40</v>
      </c>
      <c r="J27" s="130">
        <f t="shared" ref="J27:J28" si="25">I27*F27</f>
        <v>0</v>
      </c>
      <c r="L27" s="202"/>
      <c r="M27" s="149">
        <f t="shared" ref="M27:M28" si="26">$I27*$L27</f>
        <v>0</v>
      </c>
      <c r="N27" s="46">
        <f t="shared" si="21"/>
        <v>0</v>
      </c>
      <c r="O27" s="46"/>
      <c r="P27" s="201"/>
      <c r="Q27" s="149">
        <f t="shared" ref="Q27:Q28" si="27">$I27*$P27</f>
        <v>0</v>
      </c>
      <c r="R27" s="46">
        <f t="shared" si="22"/>
        <v>0</v>
      </c>
      <c r="T27" s="201"/>
      <c r="U27" s="149">
        <f t="shared" ref="U27:U28" si="28">$I27*$T27</f>
        <v>0</v>
      </c>
      <c r="V27" s="46">
        <f t="shared" si="23"/>
        <v>0</v>
      </c>
      <c r="X27" s="66"/>
      <c r="Y27" s="50"/>
      <c r="Z27" s="48" t="e">
        <f t="shared" si="19"/>
        <v>#DIV/0!</v>
      </c>
      <c r="AA27" s="91">
        <f t="shared" si="8"/>
        <v>0</v>
      </c>
      <c r="AB27" s="91">
        <f t="shared" si="24"/>
        <v>0</v>
      </c>
    </row>
    <row r="28" spans="1:28" ht="16">
      <c r="A28" s="1192"/>
      <c r="B28" s="1128"/>
      <c r="C28" s="199" t="s">
        <v>36</v>
      </c>
      <c r="D28" s="200"/>
      <c r="E28" s="154" t="e">
        <f>#REF!</f>
        <v>#REF!</v>
      </c>
      <c r="F28" s="201"/>
      <c r="G28" s="153" t="e">
        <f t="shared" si="20"/>
        <v>#REF!</v>
      </c>
      <c r="H28" s="154"/>
      <c r="I28" s="141">
        <v>660</v>
      </c>
      <c r="J28" s="130">
        <f t="shared" si="25"/>
        <v>0</v>
      </c>
      <c r="L28" s="202"/>
      <c r="M28" s="149">
        <f t="shared" si="26"/>
        <v>0</v>
      </c>
      <c r="N28" s="46">
        <f t="shared" si="21"/>
        <v>0</v>
      </c>
      <c r="O28" s="46"/>
      <c r="P28" s="201"/>
      <c r="Q28" s="149">
        <f t="shared" si="27"/>
        <v>0</v>
      </c>
      <c r="R28" s="46">
        <f t="shared" si="22"/>
        <v>0</v>
      </c>
      <c r="T28" s="201"/>
      <c r="U28" s="149">
        <f t="shared" si="28"/>
        <v>0</v>
      </c>
      <c r="V28" s="46">
        <f t="shared" si="23"/>
        <v>0</v>
      </c>
      <c r="X28" s="66"/>
      <c r="Y28" s="50"/>
      <c r="Z28" s="48" t="e">
        <f t="shared" si="19"/>
        <v>#DIV/0!</v>
      </c>
      <c r="AA28" s="91">
        <f t="shared" si="8"/>
        <v>0</v>
      </c>
      <c r="AB28" s="91">
        <f t="shared" si="24"/>
        <v>0</v>
      </c>
    </row>
    <row r="29" spans="1:28">
      <c r="A29" s="1192"/>
      <c r="B29" s="1128"/>
      <c r="C29" s="1139" t="s">
        <v>37</v>
      </c>
      <c r="D29" s="1143"/>
      <c r="E29" s="154" t="e">
        <f>#REF!</f>
        <v>#REF!</v>
      </c>
      <c r="F29" s="201"/>
      <c r="G29" s="153" t="e">
        <f t="shared" si="20"/>
        <v>#REF!</v>
      </c>
      <c r="H29" s="154"/>
      <c r="I29" s="141">
        <v>880</v>
      </c>
      <c r="J29" s="130">
        <f>I29*F29</f>
        <v>0</v>
      </c>
      <c r="L29" s="202"/>
      <c r="M29" s="149">
        <f>$I29*$L29</f>
        <v>0</v>
      </c>
      <c r="N29" s="46">
        <f t="shared" si="21"/>
        <v>0</v>
      </c>
      <c r="O29" s="46"/>
      <c r="P29" s="201"/>
      <c r="Q29" s="149">
        <f>$I29*$P29</f>
        <v>0</v>
      </c>
      <c r="R29" s="46">
        <f t="shared" si="22"/>
        <v>0</v>
      </c>
      <c r="T29" s="201"/>
      <c r="U29" s="149">
        <f>$I29*$T29</f>
        <v>0</v>
      </c>
      <c r="V29" s="46">
        <f t="shared" si="23"/>
        <v>0</v>
      </c>
      <c r="X29" s="65"/>
      <c r="Y29" s="44">
        <f>$I29*$X29</f>
        <v>0</v>
      </c>
      <c r="Z29" s="48" t="e">
        <f t="shared" si="19"/>
        <v>#DIV/0!</v>
      </c>
      <c r="AA29" s="91">
        <f t="shared" si="8"/>
        <v>0</v>
      </c>
      <c r="AB29" s="91">
        <f t="shared" si="24"/>
        <v>0</v>
      </c>
    </row>
    <row r="30" spans="1:28">
      <c r="A30" s="1192"/>
      <c r="B30" s="1128"/>
      <c r="C30" s="1139" t="s">
        <v>38</v>
      </c>
      <c r="D30" s="1143"/>
      <c r="E30" s="154" t="e">
        <f>#REF!</f>
        <v>#REF!</v>
      </c>
      <c r="F30" s="201"/>
      <c r="G30" s="153" t="e">
        <f t="shared" si="20"/>
        <v>#REF!</v>
      </c>
      <c r="H30" s="154"/>
      <c r="I30" s="141">
        <v>440</v>
      </c>
      <c r="J30" s="130"/>
      <c r="L30" s="202"/>
      <c r="M30" s="149"/>
      <c r="N30" s="46"/>
      <c r="O30" s="46"/>
      <c r="P30" s="201"/>
      <c r="Q30" s="149"/>
      <c r="R30" s="46"/>
      <c r="T30" s="201"/>
      <c r="U30" s="149"/>
      <c r="V30" s="46"/>
      <c r="X30" s="66"/>
      <c r="Y30" s="50"/>
      <c r="Z30" s="48" t="e">
        <f t="shared" si="19"/>
        <v>#DIV/0!</v>
      </c>
      <c r="AA30" s="91">
        <f t="shared" si="8"/>
        <v>0</v>
      </c>
      <c r="AB30" s="91">
        <f t="shared" si="24"/>
        <v>0</v>
      </c>
    </row>
    <row r="31" spans="1:28" ht="16" thickBot="1">
      <c r="A31" s="1192"/>
      <c r="B31" s="1142"/>
      <c r="C31" s="1195" t="s">
        <v>15</v>
      </c>
      <c r="D31" s="1196"/>
      <c r="E31" s="203" t="e">
        <f>SUM(E24:E30)</f>
        <v>#REF!</v>
      </c>
      <c r="F31" s="203">
        <f>SUM(F24:F30)</f>
        <v>0</v>
      </c>
      <c r="G31" s="204"/>
      <c r="H31" s="205"/>
      <c r="I31" s="141"/>
      <c r="J31" s="206">
        <f>SUM(J24:J30)</f>
        <v>0</v>
      </c>
      <c r="L31" s="207">
        <f>SUM(L24:L30)</f>
        <v>0</v>
      </c>
      <c r="M31" s="208">
        <f>SUM(M24:M30)</f>
        <v>0</v>
      </c>
      <c r="N31" s="209" t="e">
        <f>L31/$F31</f>
        <v>#DIV/0!</v>
      </c>
      <c r="O31" s="67"/>
      <c r="P31" s="210">
        <f>SUM(P24:P30)</f>
        <v>0</v>
      </c>
      <c r="Q31" s="208">
        <f>SUM(Q24:Q30)</f>
        <v>0</v>
      </c>
      <c r="R31" s="209" t="e">
        <f>P31/$F31</f>
        <v>#DIV/0!</v>
      </c>
      <c r="T31" s="210">
        <f>SUM(T24:T30)</f>
        <v>0</v>
      </c>
      <c r="U31" s="208">
        <f>SUM(U24:U30)</f>
        <v>0</v>
      </c>
      <c r="V31" s="209" t="e">
        <f>T31/$F31</f>
        <v>#DIV/0!</v>
      </c>
      <c r="X31" s="68">
        <f>SUM(X24:X30)</f>
        <v>0</v>
      </c>
      <c r="Y31" s="69"/>
      <c r="Z31" s="56" t="e">
        <f t="shared" si="19"/>
        <v>#DIV/0!</v>
      </c>
      <c r="AA31" s="91">
        <f t="shared" si="8"/>
        <v>0</v>
      </c>
      <c r="AB31" s="91">
        <f t="shared" si="24"/>
        <v>0</v>
      </c>
    </row>
    <row r="32" spans="1:28" ht="16">
      <c r="A32" s="1192"/>
      <c r="B32" s="1133" t="s">
        <v>66</v>
      </c>
      <c r="C32" s="211" t="s">
        <v>31</v>
      </c>
      <c r="D32" s="212"/>
      <c r="E32" s="154" t="e">
        <f>#REF!</f>
        <v>#REF!</v>
      </c>
      <c r="F32" s="213"/>
      <c r="G32" s="153" t="e">
        <f>F32-E32</f>
        <v>#REF!</v>
      </c>
      <c r="H32" s="214"/>
      <c r="I32" s="141">
        <v>499.5</v>
      </c>
      <c r="J32" s="130">
        <f>I32*F32</f>
        <v>0</v>
      </c>
      <c r="L32" s="215"/>
      <c r="M32" s="149">
        <f>$I32*$L32</f>
        <v>0</v>
      </c>
      <c r="N32" s="46">
        <f>IFERROR(L32/$F32,0)</f>
        <v>0</v>
      </c>
      <c r="O32" s="46"/>
      <c r="P32" s="213"/>
      <c r="Q32" s="149">
        <f>$I32*$P32</f>
        <v>0</v>
      </c>
      <c r="R32" s="46">
        <f>IFERROR(P32/$F32,0)</f>
        <v>0</v>
      </c>
      <c r="T32" s="213"/>
      <c r="U32" s="149">
        <f>$I32*$T32</f>
        <v>0</v>
      </c>
      <c r="V32" s="46">
        <f>IFERROR(T32/$F32,0)</f>
        <v>0</v>
      </c>
      <c r="X32" s="70"/>
      <c r="Y32" s="44">
        <f>$I32*$X32</f>
        <v>0</v>
      </c>
      <c r="Z32" s="48" t="e">
        <f t="shared" si="19"/>
        <v>#DIV/0!</v>
      </c>
      <c r="AA32" s="91">
        <f t="shared" si="8"/>
        <v>0</v>
      </c>
      <c r="AB32" s="91">
        <f t="shared" si="24"/>
        <v>0</v>
      </c>
    </row>
    <row r="33" spans="1:28">
      <c r="A33" s="1192"/>
      <c r="B33" s="1120"/>
      <c r="C33" s="1135" t="s">
        <v>33</v>
      </c>
      <c r="D33" s="1141"/>
      <c r="E33" s="154" t="e">
        <f>#REF!</f>
        <v>#REF!</v>
      </c>
      <c r="F33" s="201"/>
      <c r="G33" s="153" t="e">
        <f t="shared" ref="G33:G38" si="29">F33-E33</f>
        <v>#REF!</v>
      </c>
      <c r="H33" s="154"/>
      <c r="I33" s="141">
        <v>666</v>
      </c>
      <c r="J33" s="130">
        <f>I33*F33</f>
        <v>0</v>
      </c>
      <c r="L33" s="202"/>
      <c r="M33" s="149">
        <f>$I33*$L33</f>
        <v>0</v>
      </c>
      <c r="N33" s="46">
        <f t="shared" ref="N33:N37" si="30">IFERROR(L33/$F33,0)</f>
        <v>0</v>
      </c>
      <c r="O33" s="46"/>
      <c r="P33" s="201"/>
      <c r="Q33" s="149">
        <f>$I33*$P33</f>
        <v>0</v>
      </c>
      <c r="R33" s="46">
        <f t="shared" ref="R33:R37" si="31">IFERROR(P33/$F33,0)</f>
        <v>0</v>
      </c>
      <c r="T33" s="201"/>
      <c r="U33" s="149">
        <f>$I33*$T33</f>
        <v>0</v>
      </c>
      <c r="V33" s="46">
        <f t="shared" ref="V33:V37" si="32">IFERROR(T33/$F33,0)</f>
        <v>0</v>
      </c>
      <c r="X33" s="65"/>
      <c r="Y33" s="44">
        <f>$I33*$X33</f>
        <v>0</v>
      </c>
      <c r="Z33" s="48" t="e">
        <f t="shared" si="19"/>
        <v>#DIV/0!</v>
      </c>
      <c r="AA33" s="91">
        <f t="shared" si="8"/>
        <v>0</v>
      </c>
      <c r="AB33" s="91">
        <f t="shared" si="24"/>
        <v>0</v>
      </c>
    </row>
    <row r="34" spans="1:28" ht="16">
      <c r="A34" s="1192"/>
      <c r="B34" s="1120"/>
      <c r="C34" s="144" t="s">
        <v>34</v>
      </c>
      <c r="D34" s="156"/>
      <c r="E34" s="154" t="e">
        <f>#REF!</f>
        <v>#REF!</v>
      </c>
      <c r="F34" s="201"/>
      <c r="G34" s="153" t="e">
        <f t="shared" si="29"/>
        <v>#REF!</v>
      </c>
      <c r="H34" s="154"/>
      <c r="I34" s="141">
        <v>333</v>
      </c>
      <c r="J34" s="130">
        <f>I34*F34</f>
        <v>0</v>
      </c>
      <c r="L34" s="202"/>
      <c r="M34" s="149">
        <f>$I34*$L34</f>
        <v>0</v>
      </c>
      <c r="N34" s="46">
        <f t="shared" si="30"/>
        <v>0</v>
      </c>
      <c r="O34" s="46"/>
      <c r="P34" s="201"/>
      <c r="Q34" s="149">
        <f>$I34*$P34</f>
        <v>0</v>
      </c>
      <c r="R34" s="46">
        <f t="shared" si="31"/>
        <v>0</v>
      </c>
      <c r="T34" s="201"/>
      <c r="U34" s="149">
        <f>$I34*$T34</f>
        <v>0</v>
      </c>
      <c r="V34" s="46">
        <f t="shared" si="32"/>
        <v>0</v>
      </c>
      <c r="X34" s="65"/>
      <c r="Y34" s="44">
        <f>$I34*$X34</f>
        <v>0</v>
      </c>
      <c r="Z34" s="48" t="e">
        <f t="shared" si="19"/>
        <v>#DIV/0!</v>
      </c>
      <c r="AA34" s="91">
        <f t="shared" si="8"/>
        <v>0</v>
      </c>
      <c r="AB34" s="91">
        <f t="shared" si="24"/>
        <v>0</v>
      </c>
    </row>
    <row r="35" spans="1:28" ht="16">
      <c r="A35" s="1192"/>
      <c r="B35" s="1120"/>
      <c r="C35" s="144" t="s">
        <v>35</v>
      </c>
      <c r="D35" s="156"/>
      <c r="E35" s="154" t="e">
        <f>#REF!</f>
        <v>#REF!</v>
      </c>
      <c r="F35" s="201"/>
      <c r="G35" s="153" t="e">
        <f t="shared" si="29"/>
        <v>#REF!</v>
      </c>
      <c r="H35" s="154"/>
      <c r="I35" s="141">
        <v>166.5</v>
      </c>
      <c r="J35" s="130">
        <f t="shared" ref="J35:J36" si="33">I35*F35</f>
        <v>0</v>
      </c>
      <c r="L35" s="202"/>
      <c r="M35" s="149">
        <f t="shared" ref="M35:M36" si="34">$I35*$L35</f>
        <v>0</v>
      </c>
      <c r="N35" s="46">
        <f t="shared" si="30"/>
        <v>0</v>
      </c>
      <c r="O35" s="46"/>
      <c r="P35" s="201"/>
      <c r="Q35" s="149">
        <f t="shared" ref="Q35:Q36" si="35">$I35*$P35</f>
        <v>0</v>
      </c>
      <c r="R35" s="46">
        <f t="shared" si="31"/>
        <v>0</v>
      </c>
      <c r="T35" s="201"/>
      <c r="U35" s="149">
        <f t="shared" ref="U35:U36" si="36">$I35*$T35</f>
        <v>0</v>
      </c>
      <c r="V35" s="46">
        <f t="shared" si="32"/>
        <v>0</v>
      </c>
      <c r="X35" s="66"/>
      <c r="Y35" s="50"/>
      <c r="Z35" s="48" t="e">
        <f t="shared" si="19"/>
        <v>#DIV/0!</v>
      </c>
      <c r="AA35" s="91">
        <f t="shared" si="8"/>
        <v>0</v>
      </c>
      <c r="AB35" s="91">
        <f t="shared" si="24"/>
        <v>0</v>
      </c>
    </row>
    <row r="36" spans="1:28" ht="16">
      <c r="A36" s="1192"/>
      <c r="B36" s="1120"/>
      <c r="C36" s="144" t="s">
        <v>36</v>
      </c>
      <c r="D36" s="156"/>
      <c r="E36" s="154" t="e">
        <f>#REF!</f>
        <v>#REF!</v>
      </c>
      <c r="F36" s="201"/>
      <c r="G36" s="153" t="e">
        <f t="shared" si="29"/>
        <v>#REF!</v>
      </c>
      <c r="H36" s="154"/>
      <c r="I36" s="141">
        <v>249.75</v>
      </c>
      <c r="J36" s="130">
        <f t="shared" si="33"/>
        <v>0</v>
      </c>
      <c r="L36" s="202"/>
      <c r="M36" s="149">
        <f t="shared" si="34"/>
        <v>0</v>
      </c>
      <c r="N36" s="46">
        <f t="shared" si="30"/>
        <v>0</v>
      </c>
      <c r="O36" s="46"/>
      <c r="P36" s="201"/>
      <c r="Q36" s="149">
        <f t="shared" si="35"/>
        <v>0</v>
      </c>
      <c r="R36" s="46">
        <f t="shared" si="31"/>
        <v>0</v>
      </c>
      <c r="T36" s="201"/>
      <c r="U36" s="149">
        <f t="shared" si="36"/>
        <v>0</v>
      </c>
      <c r="V36" s="46">
        <f t="shared" si="32"/>
        <v>0</v>
      </c>
      <c r="X36" s="66"/>
      <c r="Y36" s="50"/>
      <c r="Z36" s="48" t="e">
        <f t="shared" si="19"/>
        <v>#DIV/0!</v>
      </c>
      <c r="AA36" s="91">
        <f t="shared" si="8"/>
        <v>0</v>
      </c>
      <c r="AB36" s="91">
        <f t="shared" si="24"/>
        <v>0</v>
      </c>
    </row>
    <row r="37" spans="1:28">
      <c r="A37" s="1192"/>
      <c r="B37" s="1120"/>
      <c r="C37" s="1135" t="s">
        <v>37</v>
      </c>
      <c r="D37" s="1141"/>
      <c r="E37" s="154" t="e">
        <f>#REF!</f>
        <v>#REF!</v>
      </c>
      <c r="F37" s="201"/>
      <c r="G37" s="153" t="e">
        <f t="shared" si="29"/>
        <v>#REF!</v>
      </c>
      <c r="H37" s="154"/>
      <c r="I37" s="141">
        <v>333</v>
      </c>
      <c r="J37" s="130">
        <f>I37*F37</f>
        <v>0</v>
      </c>
      <c r="L37" s="202"/>
      <c r="M37" s="149">
        <f>$I37*$L37</f>
        <v>0</v>
      </c>
      <c r="N37" s="46">
        <f t="shared" si="30"/>
        <v>0</v>
      </c>
      <c r="O37" s="46"/>
      <c r="P37" s="201"/>
      <c r="Q37" s="149">
        <f>$I37*$P37</f>
        <v>0</v>
      </c>
      <c r="R37" s="46">
        <f t="shared" si="31"/>
        <v>0</v>
      </c>
      <c r="T37" s="201"/>
      <c r="U37" s="149">
        <f>$I37*$T37</f>
        <v>0</v>
      </c>
      <c r="V37" s="46">
        <f t="shared" si="32"/>
        <v>0</v>
      </c>
      <c r="X37" s="65"/>
      <c r="Y37" s="44">
        <f>$I37*$X37</f>
        <v>0</v>
      </c>
      <c r="Z37" s="48" t="e">
        <f t="shared" si="19"/>
        <v>#DIV/0!</v>
      </c>
      <c r="AA37" s="91">
        <f t="shared" si="8"/>
        <v>0</v>
      </c>
      <c r="AB37" s="91">
        <f t="shared" si="24"/>
        <v>0</v>
      </c>
    </row>
    <row r="38" spans="1:28">
      <c r="A38" s="1192"/>
      <c r="B38" s="1120"/>
      <c r="C38" s="1135" t="s">
        <v>38</v>
      </c>
      <c r="D38" s="1136"/>
      <c r="E38" s="154" t="e">
        <f>#REF!</f>
        <v>#REF!</v>
      </c>
      <c r="F38" s="201"/>
      <c r="G38" s="153" t="e">
        <f t="shared" si="29"/>
        <v>#REF!</v>
      </c>
      <c r="H38" s="154"/>
      <c r="I38" s="141">
        <v>166.5</v>
      </c>
      <c r="J38" s="130"/>
      <c r="L38" s="202"/>
      <c r="M38" s="149"/>
      <c r="N38" s="46"/>
      <c r="O38" s="46"/>
      <c r="P38" s="201"/>
      <c r="Q38" s="149"/>
      <c r="R38" s="46"/>
      <c r="T38" s="201"/>
      <c r="U38" s="149"/>
      <c r="V38" s="46"/>
      <c r="X38" s="66"/>
      <c r="Y38" s="50"/>
      <c r="Z38" s="48"/>
      <c r="AA38" s="91">
        <f t="shared" si="8"/>
        <v>0</v>
      </c>
      <c r="AB38" s="91">
        <f t="shared" si="24"/>
        <v>0</v>
      </c>
    </row>
    <row r="39" spans="1:28" ht="16" thickBot="1">
      <c r="A39" s="1192"/>
      <c r="B39" s="1134"/>
      <c r="C39" s="1205" t="s">
        <v>15</v>
      </c>
      <c r="D39" s="1206"/>
      <c r="E39" s="203" t="e">
        <f>SUM(E32:E38)</f>
        <v>#REF!</v>
      </c>
      <c r="F39" s="203">
        <f>SUM(F32:F38)</f>
        <v>0</v>
      </c>
      <c r="G39" s="216"/>
      <c r="H39" s="154"/>
      <c r="I39" s="141"/>
      <c r="J39" s="206">
        <f>SUM(J32:J38)</f>
        <v>0</v>
      </c>
      <c r="L39" s="207">
        <f>SUM(L32:L38)</f>
        <v>0</v>
      </c>
      <c r="M39" s="208">
        <f>SUM(M32:M38)</f>
        <v>0</v>
      </c>
      <c r="N39" s="209" t="e">
        <f>L39/$F39</f>
        <v>#DIV/0!</v>
      </c>
      <c r="O39" s="67"/>
      <c r="P39" s="210">
        <f>SUM(P32:P38)</f>
        <v>0</v>
      </c>
      <c r="Q39" s="208">
        <f>SUM(Q32:Q38)</f>
        <v>0</v>
      </c>
      <c r="R39" s="209" t="e">
        <f>P39/$F39</f>
        <v>#DIV/0!</v>
      </c>
      <c r="T39" s="210">
        <f>SUM(T32:T38)</f>
        <v>0</v>
      </c>
      <c r="U39" s="208">
        <f>SUM(U32:U38)</f>
        <v>0</v>
      </c>
      <c r="V39" s="209" t="e">
        <f>T39/$F39</f>
        <v>#DIV/0!</v>
      </c>
      <c r="X39" s="68">
        <f>SUM(X32:X38)</f>
        <v>0</v>
      </c>
      <c r="Y39" s="44"/>
      <c r="Z39" s="56" t="e">
        <f t="shared" ref="Z39:Z45" si="37">X39/F39</f>
        <v>#DIV/0!</v>
      </c>
      <c r="AA39" s="91">
        <f t="shared" si="8"/>
        <v>0</v>
      </c>
      <c r="AB39" s="91">
        <f t="shared" si="24"/>
        <v>0</v>
      </c>
    </row>
    <row r="40" spans="1:28" ht="16">
      <c r="A40" s="1192"/>
      <c r="B40" s="1133" t="s">
        <v>67</v>
      </c>
      <c r="C40" s="217" t="s">
        <v>31</v>
      </c>
      <c r="D40" s="218"/>
      <c r="E40" s="154" t="e">
        <f>#REF!</f>
        <v>#REF!</v>
      </c>
      <c r="F40" s="201"/>
      <c r="G40" s="153" t="e">
        <f>F40-E40</f>
        <v>#REF!</v>
      </c>
      <c r="H40" s="214"/>
      <c r="I40" s="141">
        <v>333</v>
      </c>
      <c r="J40" s="219">
        <f>I40*F40</f>
        <v>0</v>
      </c>
      <c r="L40" s="215"/>
      <c r="M40" s="149">
        <f>$I40*$L40</f>
        <v>0</v>
      </c>
      <c r="N40" s="46">
        <f>IFERROR(L40/$F40,0)</f>
        <v>0</v>
      </c>
      <c r="O40" s="46"/>
      <c r="P40" s="213"/>
      <c r="Q40" s="149">
        <f>$I40*$P40</f>
        <v>0</v>
      </c>
      <c r="R40" s="46">
        <f>IFERROR(P40/$F40,0)</f>
        <v>0</v>
      </c>
      <c r="T40" s="213"/>
      <c r="U40" s="149">
        <f>$I40*$T40</f>
        <v>0</v>
      </c>
      <c r="V40" s="46">
        <f>IFERROR(T40/$F40,0)</f>
        <v>0</v>
      </c>
      <c r="X40" s="70"/>
      <c r="Y40" s="44">
        <f>$I40*$X40</f>
        <v>0</v>
      </c>
      <c r="Z40" s="48" t="e">
        <f t="shared" si="37"/>
        <v>#DIV/0!</v>
      </c>
      <c r="AA40" s="91">
        <f t="shared" si="8"/>
        <v>0</v>
      </c>
      <c r="AB40" s="91">
        <f t="shared" si="24"/>
        <v>0</v>
      </c>
    </row>
    <row r="41" spans="1:28">
      <c r="A41" s="1192"/>
      <c r="B41" s="1120"/>
      <c r="C41" s="1139" t="s">
        <v>33</v>
      </c>
      <c r="D41" s="1140"/>
      <c r="E41" s="154" t="e">
        <f>#REF!</f>
        <v>#REF!</v>
      </c>
      <c r="F41" s="201"/>
      <c r="G41" s="153" t="e">
        <f t="shared" ref="G41:G46" si="38">F41-E41</f>
        <v>#REF!</v>
      </c>
      <c r="H41" s="154"/>
      <c r="I41" s="141">
        <v>444</v>
      </c>
      <c r="J41" s="130">
        <f>I41*F41</f>
        <v>0</v>
      </c>
      <c r="L41" s="202"/>
      <c r="M41" s="149">
        <f>$I41*$L41</f>
        <v>0</v>
      </c>
      <c r="N41" s="46">
        <f t="shared" ref="N41:N46" si="39">IFERROR(L41/$F41,0)</f>
        <v>0</v>
      </c>
      <c r="O41" s="46"/>
      <c r="P41" s="201"/>
      <c r="Q41" s="149">
        <f>$I41*$P41</f>
        <v>0</v>
      </c>
      <c r="R41" s="46">
        <f t="shared" ref="R41:R46" si="40">IFERROR(P41/$F41,0)</f>
        <v>0</v>
      </c>
      <c r="T41" s="201"/>
      <c r="U41" s="149">
        <f>$I41*$T41</f>
        <v>0</v>
      </c>
      <c r="V41" s="46">
        <f t="shared" ref="V41:V46" si="41">IFERROR(T41/$F41,0)</f>
        <v>0</v>
      </c>
      <c r="X41" s="65"/>
      <c r="Y41" s="44">
        <f>$I41*$X41</f>
        <v>0</v>
      </c>
      <c r="Z41" s="48" t="e">
        <f t="shared" si="37"/>
        <v>#DIV/0!</v>
      </c>
      <c r="AA41" s="91">
        <f t="shared" si="8"/>
        <v>0</v>
      </c>
      <c r="AB41" s="91">
        <f t="shared" si="24"/>
        <v>0</v>
      </c>
    </row>
    <row r="42" spans="1:28" ht="16">
      <c r="A42" s="1192"/>
      <c r="B42" s="1120"/>
      <c r="C42" s="199" t="s">
        <v>34</v>
      </c>
      <c r="D42" s="220"/>
      <c r="E42" s="154" t="e">
        <f>#REF!</f>
        <v>#REF!</v>
      </c>
      <c r="F42" s="201"/>
      <c r="G42" s="153" t="e">
        <f t="shared" si="38"/>
        <v>#REF!</v>
      </c>
      <c r="H42" s="154"/>
      <c r="I42" s="141">
        <v>222</v>
      </c>
      <c r="J42" s="130">
        <f>I42*F42</f>
        <v>0</v>
      </c>
      <c r="L42" s="202"/>
      <c r="M42" s="149">
        <f>$I42*$L42</f>
        <v>0</v>
      </c>
      <c r="N42" s="46">
        <f t="shared" si="39"/>
        <v>0</v>
      </c>
      <c r="O42" s="46"/>
      <c r="P42" s="201"/>
      <c r="Q42" s="149">
        <f>$I42*$P42</f>
        <v>0</v>
      </c>
      <c r="R42" s="46">
        <f t="shared" si="40"/>
        <v>0</v>
      </c>
      <c r="T42" s="201"/>
      <c r="U42" s="149">
        <f>$I42*$T42</f>
        <v>0</v>
      </c>
      <c r="V42" s="46">
        <f t="shared" si="41"/>
        <v>0</v>
      </c>
      <c r="X42" s="65"/>
      <c r="Y42" s="44">
        <f>$I42*$X42</f>
        <v>0</v>
      </c>
      <c r="Z42" s="48" t="e">
        <f t="shared" si="37"/>
        <v>#DIV/0!</v>
      </c>
      <c r="AA42" s="91">
        <f t="shared" si="8"/>
        <v>0</v>
      </c>
      <c r="AB42" s="91">
        <f t="shared" si="24"/>
        <v>0</v>
      </c>
    </row>
    <row r="43" spans="1:28" ht="16">
      <c r="A43" s="1192"/>
      <c r="B43" s="1120"/>
      <c r="C43" s="199" t="s">
        <v>35</v>
      </c>
      <c r="D43" s="220"/>
      <c r="E43" s="154" t="e">
        <f>#REF!</f>
        <v>#REF!</v>
      </c>
      <c r="F43" s="201"/>
      <c r="G43" s="153" t="e">
        <f t="shared" si="38"/>
        <v>#REF!</v>
      </c>
      <c r="H43" s="154"/>
      <c r="I43" s="141">
        <v>111</v>
      </c>
      <c r="J43" s="130">
        <f t="shared" ref="J43:J44" si="42">I43*F43</f>
        <v>0</v>
      </c>
      <c r="L43" s="202"/>
      <c r="M43" s="149">
        <f t="shared" ref="M43:M44" si="43">$I43*$L43</f>
        <v>0</v>
      </c>
      <c r="N43" s="46">
        <f t="shared" si="39"/>
        <v>0</v>
      </c>
      <c r="O43" s="46"/>
      <c r="P43" s="201"/>
      <c r="Q43" s="149">
        <f t="shared" ref="Q43:Q44" si="44">$I43*$P43</f>
        <v>0</v>
      </c>
      <c r="R43" s="46">
        <f t="shared" si="40"/>
        <v>0</v>
      </c>
      <c r="T43" s="201"/>
      <c r="U43" s="149">
        <f t="shared" ref="U43:U44" si="45">$I43*$T43</f>
        <v>0</v>
      </c>
      <c r="V43" s="46">
        <f t="shared" si="41"/>
        <v>0</v>
      </c>
      <c r="X43" s="66"/>
      <c r="Y43" s="50"/>
      <c r="Z43" s="48" t="e">
        <f t="shared" si="37"/>
        <v>#DIV/0!</v>
      </c>
      <c r="AA43" s="91">
        <f t="shared" si="8"/>
        <v>0</v>
      </c>
      <c r="AB43" s="91">
        <f t="shared" si="24"/>
        <v>0</v>
      </c>
    </row>
    <row r="44" spans="1:28" ht="16">
      <c r="A44" s="1192"/>
      <c r="B44" s="1120"/>
      <c r="C44" s="199" t="s">
        <v>36</v>
      </c>
      <c r="D44" s="220"/>
      <c r="E44" s="154" t="e">
        <f>#REF!</f>
        <v>#REF!</v>
      </c>
      <c r="F44" s="201"/>
      <c r="G44" s="153" t="e">
        <f t="shared" si="38"/>
        <v>#REF!</v>
      </c>
      <c r="H44" s="154"/>
      <c r="I44" s="141">
        <v>166.5</v>
      </c>
      <c r="J44" s="130">
        <f t="shared" si="42"/>
        <v>0</v>
      </c>
      <c r="L44" s="202"/>
      <c r="M44" s="149">
        <f t="shared" si="43"/>
        <v>0</v>
      </c>
      <c r="N44" s="46">
        <f t="shared" si="39"/>
        <v>0</v>
      </c>
      <c r="O44" s="46"/>
      <c r="P44" s="201"/>
      <c r="Q44" s="149">
        <f t="shared" si="44"/>
        <v>0</v>
      </c>
      <c r="R44" s="46">
        <f t="shared" si="40"/>
        <v>0</v>
      </c>
      <c r="T44" s="201"/>
      <c r="U44" s="149">
        <f t="shared" si="45"/>
        <v>0</v>
      </c>
      <c r="V44" s="46">
        <f t="shared" si="41"/>
        <v>0</v>
      </c>
      <c r="X44" s="66"/>
      <c r="Y44" s="50"/>
      <c r="Z44" s="48" t="e">
        <f t="shared" si="37"/>
        <v>#DIV/0!</v>
      </c>
      <c r="AA44" s="91">
        <f t="shared" si="8"/>
        <v>0</v>
      </c>
      <c r="AB44" s="91">
        <f t="shared" si="24"/>
        <v>0</v>
      </c>
    </row>
    <row r="45" spans="1:28">
      <c r="A45" s="1192"/>
      <c r="B45" s="1120"/>
      <c r="C45" s="1139" t="s">
        <v>37</v>
      </c>
      <c r="D45" s="1140"/>
      <c r="E45" s="154" t="e">
        <f>#REF!</f>
        <v>#REF!</v>
      </c>
      <c r="F45" s="201"/>
      <c r="G45" s="153" t="e">
        <f t="shared" si="38"/>
        <v>#REF!</v>
      </c>
      <c r="H45" s="154"/>
      <c r="I45" s="141">
        <v>222</v>
      </c>
      <c r="J45" s="130">
        <f>I45*F45</f>
        <v>0</v>
      </c>
      <c r="L45" s="202"/>
      <c r="M45" s="149">
        <f>$I45*$L45</f>
        <v>0</v>
      </c>
      <c r="N45" s="46">
        <f t="shared" si="39"/>
        <v>0</v>
      </c>
      <c r="O45" s="46"/>
      <c r="P45" s="201"/>
      <c r="Q45" s="149">
        <f>$I45*$P45</f>
        <v>0</v>
      </c>
      <c r="R45" s="46">
        <f t="shared" si="40"/>
        <v>0</v>
      </c>
      <c r="T45" s="201"/>
      <c r="U45" s="149">
        <f>$I45*$T45</f>
        <v>0</v>
      </c>
      <c r="V45" s="46">
        <f t="shared" si="41"/>
        <v>0</v>
      </c>
      <c r="X45" s="65"/>
      <c r="Y45" s="44">
        <f>$I45*$X45</f>
        <v>0</v>
      </c>
      <c r="Z45" s="71" t="e">
        <f t="shared" si="37"/>
        <v>#DIV/0!</v>
      </c>
      <c r="AA45" s="91">
        <f t="shared" si="8"/>
        <v>0</v>
      </c>
      <c r="AB45" s="91">
        <f t="shared" si="24"/>
        <v>0</v>
      </c>
    </row>
    <row r="46" spans="1:28">
      <c r="A46" s="1192"/>
      <c r="B46" s="1120"/>
      <c r="C46" s="1139" t="s">
        <v>38</v>
      </c>
      <c r="D46" s="1140"/>
      <c r="E46" s="154" t="e">
        <f>#REF!</f>
        <v>#REF!</v>
      </c>
      <c r="F46" s="201"/>
      <c r="G46" s="153" t="e">
        <f t="shared" si="38"/>
        <v>#REF!</v>
      </c>
      <c r="H46" s="154"/>
      <c r="I46" s="141">
        <v>111</v>
      </c>
      <c r="J46" s="130">
        <f>I46*F46</f>
        <v>0</v>
      </c>
      <c r="L46" s="202"/>
      <c r="M46" s="149">
        <f>$I46*$L46</f>
        <v>0</v>
      </c>
      <c r="N46" s="46">
        <f t="shared" si="39"/>
        <v>0</v>
      </c>
      <c r="O46" s="46"/>
      <c r="P46" s="201"/>
      <c r="Q46" s="149">
        <f>$I46*$P46</f>
        <v>0</v>
      </c>
      <c r="R46" s="46">
        <f t="shared" si="40"/>
        <v>0</v>
      </c>
      <c r="T46" s="201"/>
      <c r="U46" s="149">
        <f>$I46*$T46</f>
        <v>0</v>
      </c>
      <c r="V46" s="46">
        <f t="shared" si="41"/>
        <v>0</v>
      </c>
      <c r="X46" s="66"/>
      <c r="Y46" s="50"/>
      <c r="Z46" s="48"/>
      <c r="AA46" s="91">
        <f t="shared" si="8"/>
        <v>0</v>
      </c>
      <c r="AB46" s="91">
        <f t="shared" si="24"/>
        <v>0</v>
      </c>
    </row>
    <row r="47" spans="1:28" ht="16" thickBot="1">
      <c r="A47" s="1192"/>
      <c r="B47" s="1134"/>
      <c r="C47" s="1190" t="s">
        <v>15</v>
      </c>
      <c r="D47" s="1191"/>
      <c r="E47" s="203" t="e">
        <f>SUM(E40:E46)</f>
        <v>#REF!</v>
      </c>
      <c r="F47" s="203">
        <f>SUM(F40:F46)</f>
        <v>0</v>
      </c>
      <c r="G47" s="204"/>
      <c r="H47" s="221"/>
      <c r="I47" s="141"/>
      <c r="J47" s="206">
        <f>SUM(J40:J46)</f>
        <v>0</v>
      </c>
      <c r="L47" s="207">
        <f>SUM(L40:L46)</f>
        <v>0</v>
      </c>
      <c r="M47" s="208">
        <f>SUM(M40:M46)</f>
        <v>0</v>
      </c>
      <c r="N47" s="209" t="e">
        <f>L47/$F47</f>
        <v>#DIV/0!</v>
      </c>
      <c r="O47" s="67"/>
      <c r="P47" s="210">
        <f>SUM(P40:P46)</f>
        <v>0</v>
      </c>
      <c r="Q47" s="208">
        <f>SUM(Q40:Q46)</f>
        <v>0</v>
      </c>
      <c r="R47" s="209" t="e">
        <f>P47/$F47</f>
        <v>#DIV/0!</v>
      </c>
      <c r="T47" s="210">
        <f>SUM(T40:T46)</f>
        <v>0</v>
      </c>
      <c r="U47" s="208">
        <f>SUM(U40:U46)</f>
        <v>0</v>
      </c>
      <c r="V47" s="209" t="e">
        <f>T47/$F47</f>
        <v>#DIV/0!</v>
      </c>
      <c r="X47" s="68">
        <f>SUM(X40:X46)</f>
        <v>0</v>
      </c>
      <c r="Y47" s="69"/>
      <c r="Z47" s="56" t="e">
        <f>X47/F47</f>
        <v>#DIV/0!</v>
      </c>
      <c r="AA47" s="91">
        <f t="shared" si="8"/>
        <v>0</v>
      </c>
      <c r="AB47" s="91">
        <f t="shared" si="24"/>
        <v>0</v>
      </c>
    </row>
    <row r="48" spans="1:28" s="53" customFormat="1" ht="16" thickBot="1">
      <c r="A48" s="1192"/>
      <c r="B48" s="222"/>
      <c r="C48" s="1197" t="s">
        <v>15</v>
      </c>
      <c r="D48" s="1197"/>
      <c r="E48" s="223" t="e">
        <f>E47+E39+E31</f>
        <v>#REF!</v>
      </c>
      <c r="F48" s="223">
        <f>F47+F39+F31</f>
        <v>0</v>
      </c>
      <c r="G48" s="224"/>
      <c r="H48" s="225"/>
      <c r="I48" s="164"/>
      <c r="J48" s="226">
        <f>J47+J39+J31</f>
        <v>0</v>
      </c>
      <c r="L48" s="227">
        <f>L47+L39+L31</f>
        <v>0</v>
      </c>
      <c r="M48" s="228">
        <f>M47+M39+M31</f>
        <v>0</v>
      </c>
      <c r="N48" s="168" t="e">
        <f>L48/$F48</f>
        <v>#DIV/0!</v>
      </c>
      <c r="O48" s="52"/>
      <c r="P48" s="223">
        <f>P47+P39+P31</f>
        <v>0</v>
      </c>
      <c r="Q48" s="229">
        <f>Q47+Q39+Q31</f>
        <v>0</v>
      </c>
      <c r="R48" s="168" t="e">
        <f>P48/$F48</f>
        <v>#DIV/0!</v>
      </c>
      <c r="T48" s="223">
        <f>T47+T39+T31</f>
        <v>0</v>
      </c>
      <c r="U48" s="228">
        <f>U47+U39+U31</f>
        <v>0</v>
      </c>
      <c r="V48" s="168" t="e">
        <f>T48/$F48</f>
        <v>#DIV/0!</v>
      </c>
      <c r="X48" s="72">
        <f>X47+X39+X31</f>
        <v>0</v>
      </c>
      <c r="Y48" s="73">
        <f>SUM(Y24:Y47)</f>
        <v>0</v>
      </c>
      <c r="Z48" s="74" t="e">
        <f>X48/F48</f>
        <v>#DIV/0!</v>
      </c>
      <c r="AA48" s="91">
        <f t="shared" si="8"/>
        <v>0</v>
      </c>
      <c r="AB48" s="91">
        <f t="shared" si="24"/>
        <v>0</v>
      </c>
    </row>
    <row r="49" spans="1:26">
      <c r="I49" s="230" t="s">
        <v>113</v>
      </c>
      <c r="J49" s="231" t="e">
        <f>J48+J22+J17</f>
        <v>#REF!</v>
      </c>
      <c r="L49" s="75" t="s">
        <v>68</v>
      </c>
      <c r="M49" s="167">
        <f>M48+M22+M17</f>
        <v>0</v>
      </c>
      <c r="N49" s="52" t="e">
        <f>M49/J49</f>
        <v>#REF!</v>
      </c>
      <c r="P49" s="75" t="s">
        <v>69</v>
      </c>
      <c r="Q49" s="232">
        <f>Q48+Q22+Q17</f>
        <v>0</v>
      </c>
      <c r="R49" s="233" t="e">
        <f>Q49/J49</f>
        <v>#REF!</v>
      </c>
      <c r="T49" s="75" t="s">
        <v>111</v>
      </c>
      <c r="U49" s="167">
        <f>U48+U22+U17</f>
        <v>0</v>
      </c>
      <c r="V49" s="52" t="e">
        <f>U49/N49</f>
        <v>#REF!</v>
      </c>
      <c r="X49" s="75" t="s">
        <v>69</v>
      </c>
      <c r="Y49" s="55" t="e">
        <f>Y48+Y22+Y17</f>
        <v>#DIV/0!</v>
      </c>
      <c r="Z49" s="76" t="e">
        <f>Y49/R49</f>
        <v>#DIV/0!</v>
      </c>
    </row>
    <row r="50" spans="1:26" hidden="1">
      <c r="A50" t="s">
        <v>70</v>
      </c>
      <c r="J50" s="231" t="e">
        <f t="shared" ref="J50" si="46">J49+J23+J18</f>
        <v>#REF!</v>
      </c>
    </row>
    <row r="51" spans="1:26">
      <c r="I51" s="234" t="s">
        <v>112</v>
      </c>
      <c r="J51" s="231" t="e">
        <f>#REF!</f>
        <v>#REF!</v>
      </c>
      <c r="T51" s="75" t="s">
        <v>71</v>
      </c>
      <c r="U51" s="77">
        <f>Q49+M49+U49</f>
        <v>0</v>
      </c>
    </row>
  </sheetData>
  <mergeCells count="35">
    <mergeCell ref="Z1:Z4"/>
    <mergeCell ref="E3:H3"/>
    <mergeCell ref="I3:J3"/>
    <mergeCell ref="E4:F4"/>
    <mergeCell ref="A1:F1"/>
    <mergeCell ref="I1:J1"/>
    <mergeCell ref="N1:N4"/>
    <mergeCell ref="R1:R4"/>
    <mergeCell ref="V1:V4"/>
    <mergeCell ref="C41:D41"/>
    <mergeCell ref="C45:D45"/>
    <mergeCell ref="A9:A17"/>
    <mergeCell ref="E10:F10"/>
    <mergeCell ref="C17:D17"/>
    <mergeCell ref="A18:A22"/>
    <mergeCell ref="E18:F18"/>
    <mergeCell ref="C22:D22"/>
    <mergeCell ref="C39:D39"/>
    <mergeCell ref="B40:B47"/>
    <mergeCell ref="E7:E8"/>
    <mergeCell ref="F7:F8"/>
    <mergeCell ref="C46:D46"/>
    <mergeCell ref="C47:D47"/>
    <mergeCell ref="A23:A48"/>
    <mergeCell ref="E23:F23"/>
    <mergeCell ref="B24:B31"/>
    <mergeCell ref="C25:D25"/>
    <mergeCell ref="C29:D29"/>
    <mergeCell ref="C30:D30"/>
    <mergeCell ref="C31:D31"/>
    <mergeCell ref="B32:B39"/>
    <mergeCell ref="C33:D33"/>
    <mergeCell ref="C37:D37"/>
    <mergeCell ref="C48:D48"/>
    <mergeCell ref="C38:D38"/>
  </mergeCells>
  <printOptions horizontalCentered="1" verticalCentered="1"/>
  <pageMargins left="0.25" right="0.25" top="0.75" bottom="0.75" header="0.3" footer="0.3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053E-C869-4A65-AD6C-98ABF8AF5996}">
  <sheetPr codeName="Sheet7"/>
  <dimension ref="A4:C78"/>
  <sheetViews>
    <sheetView workbookViewId="0"/>
  </sheetViews>
  <sheetFormatPr baseColWidth="10" defaultColWidth="8.83203125" defaultRowHeight="15"/>
  <cols>
    <col min="1" max="1" width="20" bestFit="1" customWidth="1"/>
    <col min="2" max="2" width="14.5" customWidth="1"/>
    <col min="3" max="3" width="14" customWidth="1"/>
  </cols>
  <sheetData>
    <row r="4" spans="1:3" ht="32">
      <c r="A4" s="245" t="s">
        <v>115</v>
      </c>
      <c r="B4" s="247" t="s">
        <v>171</v>
      </c>
      <c r="C4" s="248" t="s">
        <v>172</v>
      </c>
    </row>
    <row r="6" spans="1:3">
      <c r="A6" s="254" t="s">
        <v>116</v>
      </c>
      <c r="B6" s="249">
        <v>20957</v>
      </c>
      <c r="C6" s="250">
        <v>7860.1600000000008</v>
      </c>
    </row>
    <row r="7" spans="1:3">
      <c r="A7" s="254" t="s">
        <v>173</v>
      </c>
      <c r="B7" s="249">
        <v>18787</v>
      </c>
      <c r="C7" s="250">
        <v>10527.039999999999</v>
      </c>
    </row>
    <row r="8" spans="1:3">
      <c r="A8" s="254" t="s">
        <v>117</v>
      </c>
      <c r="B8" s="249">
        <v>4418</v>
      </c>
      <c r="C8" s="250">
        <v>2320.7099999999996</v>
      </c>
    </row>
    <row r="9" spans="1:3">
      <c r="A9" s="254" t="s">
        <v>174</v>
      </c>
      <c r="B9" s="249">
        <v>15602</v>
      </c>
      <c r="C9" s="250">
        <v>9162.4000920000017</v>
      </c>
    </row>
    <row r="10" spans="1:3">
      <c r="A10" s="254" t="s">
        <v>118</v>
      </c>
      <c r="B10" s="249">
        <v>17222</v>
      </c>
      <c r="C10" s="250">
        <v>8791.82</v>
      </c>
    </row>
    <row r="11" spans="1:3">
      <c r="A11" s="254" t="s">
        <v>119</v>
      </c>
      <c r="B11" s="249">
        <v>31382</v>
      </c>
      <c r="C11" s="250">
        <v>16275.8</v>
      </c>
    </row>
    <row r="12" spans="1:3">
      <c r="A12" s="254" t="s">
        <v>120</v>
      </c>
      <c r="B12" s="249">
        <v>31894</v>
      </c>
      <c r="C12" s="250">
        <v>18651.602642000002</v>
      </c>
    </row>
    <row r="13" spans="1:3">
      <c r="A13" s="254" t="s">
        <v>121</v>
      </c>
      <c r="B13" s="249">
        <v>30344</v>
      </c>
      <c r="C13" s="250">
        <v>14222.029999999999</v>
      </c>
    </row>
    <row r="14" spans="1:3">
      <c r="A14" s="254" t="s">
        <v>122</v>
      </c>
      <c r="B14" s="249">
        <v>19948</v>
      </c>
      <c r="C14" s="250">
        <v>11617.945227000002</v>
      </c>
    </row>
    <row r="15" spans="1:3">
      <c r="A15" s="254" t="s">
        <v>123</v>
      </c>
      <c r="B15" s="249">
        <v>64413</v>
      </c>
      <c r="C15" s="250">
        <v>32276.789907999995</v>
      </c>
    </row>
    <row r="16" spans="1:3">
      <c r="A16" s="254" t="s">
        <v>124</v>
      </c>
      <c r="B16" s="249">
        <v>12203</v>
      </c>
      <c r="C16" s="250">
        <v>5961.6899290000019</v>
      </c>
    </row>
    <row r="17" spans="1:3">
      <c r="A17" s="254" t="s">
        <v>125</v>
      </c>
      <c r="B17" s="249">
        <v>52097</v>
      </c>
      <c r="C17" s="250">
        <v>29269.360051</v>
      </c>
    </row>
    <row r="18" spans="1:3">
      <c r="A18" s="254" t="s">
        <v>126</v>
      </c>
      <c r="B18" s="249">
        <v>2810</v>
      </c>
      <c r="C18" s="250">
        <v>1431.8299930000003</v>
      </c>
    </row>
    <row r="19" spans="1:3">
      <c r="A19" s="254" t="s">
        <v>127</v>
      </c>
      <c r="B19" s="249">
        <v>16043</v>
      </c>
      <c r="C19" s="250">
        <v>9398.6090733561596</v>
      </c>
    </row>
    <row r="20" spans="1:3">
      <c r="A20" s="254" t="s">
        <v>128</v>
      </c>
      <c r="B20" s="249">
        <v>33678</v>
      </c>
      <c r="C20" s="250">
        <v>19587.659949000001</v>
      </c>
    </row>
    <row r="21" spans="1:3">
      <c r="A21" s="254" t="s">
        <v>129</v>
      </c>
      <c r="B21" s="249">
        <v>3454</v>
      </c>
      <c r="C21" s="250">
        <v>1599.3681070000002</v>
      </c>
    </row>
    <row r="22" spans="1:3">
      <c r="A22" s="254" t="s">
        <v>175</v>
      </c>
      <c r="B22" s="249">
        <v>61268</v>
      </c>
      <c r="C22" s="250">
        <v>23961.87</v>
      </c>
    </row>
    <row r="23" spans="1:3">
      <c r="A23" s="254" t="s">
        <v>130</v>
      </c>
      <c r="B23" s="249">
        <v>9587</v>
      </c>
      <c r="C23" s="250">
        <v>4107.0400000000018</v>
      </c>
    </row>
    <row r="24" spans="1:3">
      <c r="A24" s="254" t="s">
        <v>131</v>
      </c>
      <c r="B24" s="249">
        <v>26454</v>
      </c>
      <c r="C24" s="250">
        <v>11026.53</v>
      </c>
    </row>
    <row r="25" spans="1:3">
      <c r="A25" s="254" t="s">
        <v>176</v>
      </c>
      <c r="B25" s="249">
        <v>38297</v>
      </c>
      <c r="C25" s="250">
        <v>17160.770000000004</v>
      </c>
    </row>
    <row r="26" spans="1:3">
      <c r="A26" s="254" t="s">
        <v>132</v>
      </c>
      <c r="B26" s="249">
        <v>18135</v>
      </c>
      <c r="C26" s="250">
        <v>7356.089911</v>
      </c>
    </row>
    <row r="27" spans="1:3">
      <c r="A27" s="254" t="s">
        <v>133</v>
      </c>
      <c r="B27" s="249">
        <v>11140</v>
      </c>
      <c r="C27" s="250">
        <v>7347.2481080000007</v>
      </c>
    </row>
    <row r="28" spans="1:3">
      <c r="A28" s="254" t="s">
        <v>134</v>
      </c>
      <c r="B28" s="249">
        <v>46680</v>
      </c>
      <c r="C28" s="250">
        <v>22475.839226000004</v>
      </c>
    </row>
    <row r="29" spans="1:3">
      <c r="A29" s="254" t="s">
        <v>135</v>
      </c>
      <c r="B29" s="249">
        <v>6750</v>
      </c>
      <c r="C29" s="250">
        <v>1628.82</v>
      </c>
    </row>
    <row r="30" spans="1:3">
      <c r="A30" s="254" t="s">
        <v>136</v>
      </c>
      <c r="B30" s="249">
        <v>4141</v>
      </c>
      <c r="C30" s="250">
        <v>1341.9</v>
      </c>
    </row>
    <row r="31" spans="1:3">
      <c r="A31" s="254" t="s">
        <v>137</v>
      </c>
      <c r="B31" s="249">
        <v>34738</v>
      </c>
      <c r="C31" s="250">
        <v>18388.579999999998</v>
      </c>
    </row>
    <row r="32" spans="1:3">
      <c r="A32" s="254" t="s">
        <v>138</v>
      </c>
      <c r="B32" s="249">
        <v>230431</v>
      </c>
      <c r="C32" s="250">
        <v>93053.62</v>
      </c>
    </row>
    <row r="33" spans="1:3">
      <c r="A33" s="254" t="s">
        <v>139</v>
      </c>
      <c r="B33" s="249">
        <v>108084</v>
      </c>
      <c r="C33" s="250">
        <v>44183.24</v>
      </c>
    </row>
    <row r="34" spans="1:3">
      <c r="A34" s="254" t="s">
        <v>140</v>
      </c>
      <c r="B34" s="249">
        <v>9912</v>
      </c>
      <c r="C34" s="250">
        <v>3439.7299999999996</v>
      </c>
    </row>
    <row r="35" spans="1:3">
      <c r="A35" s="254" t="s">
        <v>177</v>
      </c>
      <c r="B35" s="249">
        <v>6628</v>
      </c>
      <c r="C35" s="250">
        <v>2369.96</v>
      </c>
    </row>
    <row r="36" spans="1:3">
      <c r="A36" s="254" t="s">
        <v>141</v>
      </c>
      <c r="B36" s="249">
        <v>16350</v>
      </c>
      <c r="C36" s="250">
        <v>8379.0300000000025</v>
      </c>
    </row>
    <row r="37" spans="1:3">
      <c r="A37" s="254" t="s">
        <v>178</v>
      </c>
      <c r="B37" s="249">
        <v>23304</v>
      </c>
      <c r="C37" s="250">
        <v>10274.230000000001</v>
      </c>
    </row>
    <row r="38" spans="1:3">
      <c r="A38" s="254" t="s">
        <v>179</v>
      </c>
      <c r="B38" s="249">
        <v>12944</v>
      </c>
      <c r="C38" s="250">
        <v>5956.3000000000011</v>
      </c>
    </row>
    <row r="39" spans="1:3">
      <c r="A39" s="254" t="s">
        <v>142</v>
      </c>
      <c r="B39" s="249">
        <v>66078</v>
      </c>
      <c r="C39" s="250">
        <v>24977.134903999999</v>
      </c>
    </row>
    <row r="40" spans="1:3">
      <c r="A40" s="254" t="s">
        <v>143</v>
      </c>
      <c r="B40" s="249">
        <v>23165</v>
      </c>
      <c r="C40" s="250">
        <v>10195.460000000001</v>
      </c>
    </row>
    <row r="41" spans="1:3">
      <c r="A41" s="254" t="s">
        <v>180</v>
      </c>
      <c r="B41" s="249">
        <v>8822</v>
      </c>
      <c r="C41" s="250">
        <v>4749.6299999999992</v>
      </c>
    </row>
    <row r="42" spans="1:3">
      <c r="A42" s="254" t="s">
        <v>144</v>
      </c>
      <c r="B42" s="249">
        <v>75394</v>
      </c>
      <c r="C42" s="250">
        <v>27208.32</v>
      </c>
    </row>
    <row r="43" spans="1:3">
      <c r="A43" s="254" t="s">
        <v>145</v>
      </c>
      <c r="B43" s="249">
        <v>15035</v>
      </c>
      <c r="C43" s="250">
        <v>6833.4599999999991</v>
      </c>
    </row>
    <row r="44" spans="1:3">
      <c r="A44" s="254" t="s">
        <v>146</v>
      </c>
      <c r="B44" s="249">
        <v>6656</v>
      </c>
      <c r="C44" s="250">
        <v>2051.5482519999996</v>
      </c>
    </row>
    <row r="45" spans="1:3">
      <c r="A45" s="254" t="s">
        <v>147</v>
      </c>
      <c r="B45" s="249">
        <v>36426</v>
      </c>
      <c r="C45" s="250">
        <v>18449.839941000002</v>
      </c>
    </row>
    <row r="46" spans="1:3">
      <c r="A46" s="254" t="s">
        <v>181</v>
      </c>
      <c r="B46" s="249">
        <v>41360</v>
      </c>
      <c r="C46" s="250">
        <v>22801.970091000003</v>
      </c>
    </row>
    <row r="47" spans="1:3">
      <c r="A47" s="254" t="s">
        <v>148</v>
      </c>
      <c r="B47" s="249">
        <v>50786</v>
      </c>
      <c r="C47" s="250">
        <v>18684.530063999995</v>
      </c>
    </row>
    <row r="48" spans="1:3">
      <c r="A48" s="254" t="s">
        <v>149</v>
      </c>
      <c r="B48" s="249">
        <v>89293</v>
      </c>
      <c r="C48" s="250">
        <v>23301.942965000002</v>
      </c>
    </row>
    <row r="49" spans="1:3">
      <c r="A49" s="254" t="s">
        <v>150</v>
      </c>
      <c r="B49" s="249">
        <v>7180</v>
      </c>
      <c r="C49" s="250">
        <v>3477.4500000000003</v>
      </c>
    </row>
    <row r="50" spans="1:3">
      <c r="A50" s="254" t="s">
        <v>151</v>
      </c>
      <c r="B50" s="249">
        <v>30792</v>
      </c>
      <c r="C50" s="250">
        <v>12782.115179999999</v>
      </c>
    </row>
    <row r="51" spans="1:3">
      <c r="A51" s="254" t="s">
        <v>152</v>
      </c>
      <c r="B51" s="249">
        <v>58940</v>
      </c>
      <c r="C51" s="250">
        <v>30445.289231999996</v>
      </c>
    </row>
    <row r="52" spans="1:3">
      <c r="A52" s="254" t="s">
        <v>153</v>
      </c>
      <c r="B52" s="249">
        <v>27882</v>
      </c>
      <c r="C52" s="250">
        <v>15066.38991</v>
      </c>
    </row>
    <row r="53" spans="1:3">
      <c r="A53" s="254" t="s">
        <v>154</v>
      </c>
      <c r="B53" s="249">
        <v>116638</v>
      </c>
      <c r="C53" s="250">
        <v>35115.99</v>
      </c>
    </row>
    <row r="54" spans="1:3">
      <c r="A54" s="254" t="s">
        <v>155</v>
      </c>
      <c r="B54" s="249">
        <v>67638</v>
      </c>
      <c r="C54" s="250">
        <v>16031.3399082</v>
      </c>
    </row>
    <row r="55" spans="1:3">
      <c r="A55" s="254" t="s">
        <v>156</v>
      </c>
      <c r="B55" s="249">
        <v>23628</v>
      </c>
      <c r="C55" s="250">
        <v>15729.639937</v>
      </c>
    </row>
    <row r="56" spans="1:3">
      <c r="A56" s="254" t="s">
        <v>182</v>
      </c>
      <c r="B56" s="249">
        <v>28741</v>
      </c>
      <c r="C56" s="250">
        <v>11715.929990999997</v>
      </c>
    </row>
    <row r="57" spans="1:3">
      <c r="A57" s="254" t="s">
        <v>183</v>
      </c>
      <c r="B57" s="249">
        <v>16617</v>
      </c>
      <c r="C57" s="250">
        <v>7933.1099999999979</v>
      </c>
    </row>
    <row r="58" spans="1:3">
      <c r="A58" s="254" t="s">
        <v>184</v>
      </c>
      <c r="B58" s="249">
        <v>38287</v>
      </c>
      <c r="C58" s="250">
        <v>15680.999999999998</v>
      </c>
    </row>
    <row r="59" spans="1:3">
      <c r="A59" s="254" t="s">
        <v>157</v>
      </c>
      <c r="B59" s="249">
        <v>23813</v>
      </c>
      <c r="C59" s="250">
        <v>11660.820000000002</v>
      </c>
    </row>
    <row r="60" spans="1:3">
      <c r="A60" s="254" t="s">
        <v>158</v>
      </c>
      <c r="B60" s="249">
        <v>32862</v>
      </c>
      <c r="C60" s="250">
        <v>16308.519304000001</v>
      </c>
    </row>
    <row r="61" spans="1:3">
      <c r="A61" s="254" t="s">
        <v>159</v>
      </c>
      <c r="B61" s="249">
        <v>44245</v>
      </c>
      <c r="C61" s="250">
        <v>17871.400000000001</v>
      </c>
    </row>
    <row r="62" spans="1:3">
      <c r="A62" s="254" t="s">
        <v>160</v>
      </c>
      <c r="B62" s="249">
        <v>16154</v>
      </c>
      <c r="C62" s="250">
        <v>9685.2526810000018</v>
      </c>
    </row>
    <row r="63" spans="1:3">
      <c r="A63" s="254" t="s">
        <v>185</v>
      </c>
      <c r="B63" s="249">
        <v>13717</v>
      </c>
      <c r="C63" s="250">
        <v>6089.4699999999984</v>
      </c>
    </row>
    <row r="64" spans="1:3">
      <c r="A64" s="254" t="s">
        <v>161</v>
      </c>
      <c r="B64" s="249">
        <v>25395</v>
      </c>
      <c r="C64" s="250">
        <v>14916.480178999998</v>
      </c>
    </row>
    <row r="65" spans="1:3">
      <c r="A65" s="254" t="s">
        <v>186</v>
      </c>
      <c r="B65" s="249">
        <v>6334</v>
      </c>
      <c r="C65" s="250">
        <v>1780.3400000000004</v>
      </c>
    </row>
    <row r="66" spans="1:3">
      <c r="A66" s="254" t="s">
        <v>187</v>
      </c>
      <c r="B66" s="249">
        <v>13639</v>
      </c>
      <c r="C66" s="250">
        <v>7907.2699999999986</v>
      </c>
    </row>
    <row r="67" spans="1:3">
      <c r="A67" s="254" t="s">
        <v>188</v>
      </c>
      <c r="B67" s="249">
        <v>37927</v>
      </c>
      <c r="C67" s="250">
        <v>16040.469999999996</v>
      </c>
    </row>
    <row r="68" spans="1:3">
      <c r="A68" s="254" t="s">
        <v>162</v>
      </c>
      <c r="B68" s="249">
        <v>61281</v>
      </c>
      <c r="C68" s="250">
        <v>23956.44</v>
      </c>
    </row>
    <row r="69" spans="1:3">
      <c r="A69" s="254" t="s">
        <v>163</v>
      </c>
      <c r="B69" s="249">
        <v>27407</v>
      </c>
      <c r="C69" s="250">
        <v>13083.04</v>
      </c>
    </row>
    <row r="70" spans="1:3">
      <c r="A70" s="254" t="s">
        <v>164</v>
      </c>
      <c r="B70" s="249">
        <v>63252</v>
      </c>
      <c r="C70" s="250">
        <v>31058.822104000006</v>
      </c>
    </row>
    <row r="71" spans="1:3">
      <c r="A71" s="254" t="s">
        <v>189</v>
      </c>
      <c r="B71" s="249">
        <v>49244</v>
      </c>
      <c r="C71" s="250">
        <v>26548.327543000007</v>
      </c>
    </row>
    <row r="72" spans="1:3">
      <c r="A72" s="254" t="s">
        <v>165</v>
      </c>
      <c r="B72" s="249">
        <v>16387</v>
      </c>
      <c r="C72" s="250">
        <v>9561.0413739999985</v>
      </c>
    </row>
    <row r="73" spans="1:3">
      <c r="A73" s="254" t="s">
        <v>166</v>
      </c>
      <c r="B73" s="249">
        <v>11846</v>
      </c>
      <c r="C73" s="250">
        <v>5384.0108210000008</v>
      </c>
    </row>
    <row r="74" spans="1:3">
      <c r="A74" s="254" t="s">
        <v>167</v>
      </c>
      <c r="B74" s="249">
        <v>9505</v>
      </c>
      <c r="C74" s="250">
        <v>2827.0941699999994</v>
      </c>
    </row>
    <row r="75" spans="1:3">
      <c r="A75" s="254" t="s">
        <v>190</v>
      </c>
      <c r="B75" s="249">
        <v>27542</v>
      </c>
      <c r="C75" s="250">
        <v>11473.35</v>
      </c>
    </row>
    <row r="76" spans="1:3">
      <c r="A76" s="254" t="s">
        <v>168</v>
      </c>
      <c r="B76" s="249">
        <v>28635</v>
      </c>
      <c r="C76" s="250">
        <v>16104.270000000002</v>
      </c>
    </row>
    <row r="77" spans="1:3">
      <c r="A77" s="254" t="s">
        <v>169</v>
      </c>
      <c r="B77" s="249">
        <v>14284</v>
      </c>
      <c r="C77" s="250">
        <v>7424.91</v>
      </c>
    </row>
    <row r="78" spans="1:3">
      <c r="A78" s="246" t="s">
        <v>170</v>
      </c>
      <c r="B78" s="251">
        <f>SUM(B6:B77)</f>
        <v>2392922</v>
      </c>
      <c r="C78" s="252">
        <f>SUM(C6:C77)</f>
        <v>1054319.030767556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7C3A-5356-4A86-9C56-E53D26136DE0}">
  <sheetPr>
    <tabColor rgb="FFFFFF00"/>
    <pageSetUpPr fitToPage="1"/>
  </sheetPr>
  <dimension ref="A1:V63"/>
  <sheetViews>
    <sheetView topLeftCell="A10" zoomScale="80" zoomScaleNormal="80" zoomScalePageLayoutView="40" workbookViewId="0">
      <selection activeCell="B33" sqref="B33"/>
    </sheetView>
  </sheetViews>
  <sheetFormatPr baseColWidth="10" defaultColWidth="9.1640625" defaultRowHeight="15"/>
  <cols>
    <col min="1" max="1" width="9.6640625" customWidth="1"/>
    <col min="2" max="2" width="42.6640625" customWidth="1"/>
    <col min="3" max="3" width="2" customWidth="1"/>
    <col min="4" max="4" width="22.6640625" customWidth="1"/>
    <col min="5" max="5" width="22.6640625" style="77" customWidth="1"/>
    <col min="6" max="6" width="0.83203125" customWidth="1"/>
    <col min="7" max="7" width="22.6640625" customWidth="1"/>
    <col min="8" max="8" width="13.83203125" customWidth="1"/>
    <col min="9" max="9" width="0.83203125" customWidth="1"/>
    <col min="10" max="10" width="22.6640625" customWidth="1"/>
    <col min="11" max="11" width="15.83203125" customWidth="1"/>
    <col min="12" max="12" width="0.83203125" customWidth="1"/>
    <col min="13" max="13" width="22.6640625" customWidth="1"/>
    <col min="14" max="14" width="15.83203125" customWidth="1"/>
    <col min="15" max="15" width="2.83203125" customWidth="1"/>
    <col min="16" max="16" width="26.83203125" customWidth="1"/>
    <col min="17" max="17" width="5.83203125" customWidth="1"/>
    <col min="18" max="18" width="17" bestFit="1" customWidth="1"/>
    <col min="19" max="19" width="24.6640625" style="450" customWidth="1"/>
    <col min="20" max="20" width="42.5" customWidth="1"/>
  </cols>
  <sheetData>
    <row r="1" spans="1:20">
      <c r="A1" s="469"/>
      <c r="B1" s="469"/>
      <c r="C1" s="469"/>
      <c r="D1" s="469"/>
      <c r="E1" s="483"/>
      <c r="F1" s="302"/>
      <c r="G1" s="307"/>
      <c r="H1" s="302"/>
      <c r="I1" s="309"/>
      <c r="J1" s="309"/>
      <c r="K1" s="309"/>
      <c r="L1" s="317"/>
      <c r="M1" s="317"/>
      <c r="N1" s="317"/>
      <c r="O1" s="263"/>
      <c r="P1" s="263"/>
      <c r="Q1" s="263"/>
    </row>
    <row r="2" spans="1:20" ht="54" customHeight="1">
      <c r="A2" s="1110" t="s">
        <v>305</v>
      </c>
      <c r="B2" s="1110"/>
      <c r="C2" s="1110"/>
      <c r="D2" s="1110"/>
      <c r="E2" s="1110"/>
      <c r="F2" s="302"/>
      <c r="G2" s="1112"/>
      <c r="H2" s="1112"/>
      <c r="I2" s="309"/>
      <c r="J2" s="1112"/>
      <c r="K2" s="1112"/>
      <c r="L2" s="317"/>
      <c r="M2" s="1112"/>
      <c r="N2" s="1112"/>
      <c r="O2" s="263"/>
      <c r="P2" s="472" t="s">
        <v>15</v>
      </c>
      <c r="Q2" s="570"/>
      <c r="R2" s="335"/>
    </row>
    <row r="3" spans="1:20" ht="54.75" customHeight="1" thickBot="1">
      <c r="A3" s="1111"/>
      <c r="B3" s="1111"/>
      <c r="C3" s="1111"/>
      <c r="D3" s="1111"/>
      <c r="E3" s="1111"/>
      <c r="F3" s="302"/>
      <c r="G3" s="1113"/>
      <c r="H3" s="1113"/>
      <c r="I3" s="310"/>
      <c r="J3" s="1113"/>
      <c r="K3" s="1113"/>
      <c r="L3" s="317"/>
      <c r="M3" s="1113"/>
      <c r="N3" s="1113"/>
      <c r="O3" s="263"/>
      <c r="P3" s="473"/>
      <c r="Q3" s="571"/>
      <c r="R3" s="411"/>
    </row>
    <row r="4" spans="1:20" ht="6.75" customHeight="1">
      <c r="A4" s="105"/>
      <c r="B4" s="105"/>
      <c r="C4" s="105"/>
      <c r="F4" s="302"/>
      <c r="G4" s="105"/>
      <c r="H4" s="235"/>
      <c r="I4" s="310"/>
      <c r="J4" s="105"/>
      <c r="K4" s="235"/>
      <c r="L4" s="317"/>
      <c r="M4" s="105"/>
      <c r="N4" s="235"/>
      <c r="O4" s="263"/>
      <c r="P4" s="268"/>
      <c r="Q4" s="572"/>
      <c r="R4" s="445"/>
    </row>
    <row r="5" spans="1:20" s="28" customFormat="1" ht="45" customHeight="1">
      <c r="A5" s="1117" t="s">
        <v>248</v>
      </c>
      <c r="B5" s="1117"/>
      <c r="C5" s="484"/>
      <c r="D5" s="484"/>
      <c r="E5" s="484"/>
      <c r="F5" s="303"/>
      <c r="G5" s="111"/>
      <c r="H5" s="257"/>
      <c r="I5" s="310"/>
      <c r="J5" s="111"/>
      <c r="K5" s="257"/>
      <c r="L5" s="318"/>
      <c r="M5" s="111"/>
      <c r="N5" s="257"/>
      <c r="O5" s="264"/>
      <c r="P5" s="1124" t="s">
        <v>198</v>
      </c>
      <c r="Q5" s="528"/>
      <c r="R5" s="109"/>
      <c r="S5" s="450"/>
    </row>
    <row r="6" spans="1:20" s="28" customFormat="1" ht="6.75" customHeight="1">
      <c r="A6" s="1117"/>
      <c r="B6" s="1117"/>
      <c r="C6" s="270"/>
      <c r="D6" s="109"/>
      <c r="E6" s="109"/>
      <c r="F6" s="303"/>
      <c r="G6" s="111"/>
      <c r="H6" s="257"/>
      <c r="I6" s="310"/>
      <c r="J6" s="111"/>
      <c r="K6" s="257"/>
      <c r="L6" s="318"/>
      <c r="M6" s="111"/>
      <c r="N6" s="257"/>
      <c r="O6" s="264"/>
      <c r="P6" s="1124"/>
      <c r="Q6" s="528"/>
      <c r="R6" s="109"/>
      <c r="S6" s="450"/>
    </row>
    <row r="7" spans="1:20" s="28" customFormat="1" ht="35.25" customHeight="1">
      <c r="A7" s="1117"/>
      <c r="B7" s="1117"/>
      <c r="C7" s="113"/>
      <c r="D7" s="408" t="s">
        <v>218</v>
      </c>
      <c r="E7" s="116" t="s">
        <v>219</v>
      </c>
      <c r="F7" s="303"/>
      <c r="G7" s="117" t="s">
        <v>104</v>
      </c>
      <c r="H7" s="261" t="s">
        <v>103</v>
      </c>
      <c r="I7" s="310"/>
      <c r="J7" s="117" t="s">
        <v>104</v>
      </c>
      <c r="K7" s="261" t="s">
        <v>103</v>
      </c>
      <c r="L7" s="318"/>
      <c r="M7" s="117" t="s">
        <v>104</v>
      </c>
      <c r="N7" s="261" t="s">
        <v>103</v>
      </c>
      <c r="O7" s="264"/>
      <c r="P7" s="1124"/>
      <c r="Q7" s="528"/>
      <c r="R7" s="114"/>
      <c r="S7" s="450"/>
    </row>
    <row r="8" spans="1:20" s="28" customFormat="1" ht="9.75" customHeight="1" thickBot="1">
      <c r="A8" s="467"/>
      <c r="B8" s="467"/>
      <c r="C8" s="239"/>
      <c r="D8" s="468"/>
      <c r="E8" s="241"/>
      <c r="F8" s="462"/>
      <c r="G8" s="240"/>
      <c r="H8" s="463"/>
      <c r="I8" s="464"/>
      <c r="J8" s="240"/>
      <c r="K8" s="463"/>
      <c r="L8" s="465"/>
      <c r="M8" s="240"/>
      <c r="N8" s="463"/>
      <c r="O8" s="466"/>
      <c r="P8" s="240"/>
      <c r="Q8" s="573"/>
      <c r="R8" s="114"/>
      <c r="S8" s="450"/>
    </row>
    <row r="9" spans="1:20" ht="27.75" customHeight="1">
      <c r="A9" s="1120" t="s">
        <v>202</v>
      </c>
      <c r="B9" s="171"/>
      <c r="C9" s="457"/>
      <c r="D9" s="459"/>
      <c r="E9" s="275"/>
      <c r="F9" s="302"/>
      <c r="G9" s="460"/>
      <c r="H9" s="46"/>
      <c r="I9" s="313"/>
      <c r="J9" s="460"/>
      <c r="K9" s="46"/>
      <c r="L9" s="317"/>
      <c r="M9" s="460"/>
      <c r="N9" s="46"/>
      <c r="O9" s="263"/>
      <c r="P9" s="424"/>
      <c r="Q9" s="574"/>
      <c r="R9" s="290"/>
      <c r="T9" t="s">
        <v>253</v>
      </c>
    </row>
    <row r="10" spans="1:20" ht="15" customHeight="1">
      <c r="A10" s="1120"/>
      <c r="B10" s="524" t="s">
        <v>201</v>
      </c>
      <c r="C10" s="413"/>
      <c r="D10" s="415"/>
      <c r="E10" s="416"/>
      <c r="F10" s="304"/>
      <c r="G10" s="417"/>
      <c r="H10" s="262"/>
      <c r="I10" s="313"/>
      <c r="J10" s="417"/>
      <c r="K10" s="262"/>
      <c r="L10" s="317"/>
      <c r="M10" s="417"/>
      <c r="N10" s="262"/>
      <c r="O10" s="263"/>
      <c r="P10" s="407"/>
      <c r="Q10" s="502"/>
      <c r="T10" s="450"/>
    </row>
    <row r="11" spans="1:20" ht="15" customHeight="1">
      <c r="A11" s="1120"/>
      <c r="B11" s="336" t="s">
        <v>261</v>
      </c>
      <c r="C11" s="413"/>
      <c r="D11" s="529">
        <v>0</v>
      </c>
      <c r="E11" s="130">
        <v>0</v>
      </c>
      <c r="F11" s="530"/>
      <c r="G11" s="529">
        <f>P11*H11</f>
        <v>214595.03324185201</v>
      </c>
      <c r="H11" s="273">
        <f>'2. SCFF College Data '!K19</f>
        <v>0.35258759152431451</v>
      </c>
      <c r="I11" s="313"/>
      <c r="J11" s="529">
        <f>P11*K11</f>
        <v>295026.96005841199</v>
      </c>
      <c r="K11" s="273">
        <f>'2. SCFF College Data '!O19</f>
        <v>0.48474022772232672</v>
      </c>
      <c r="L11" s="317"/>
      <c r="M11" s="529">
        <f>P11*N11</f>
        <v>99007.006699735954</v>
      </c>
      <c r="N11" s="273">
        <f>'2. SCFF College Data '!S19</f>
        <v>0.16267218075335871</v>
      </c>
      <c r="O11" s="263"/>
      <c r="P11" s="559">
        <v>608629</v>
      </c>
      <c r="Q11" s="575"/>
      <c r="R11" s="275"/>
      <c r="T11" s="518">
        <v>650602</v>
      </c>
    </row>
    <row r="12" spans="1:20" ht="15" customHeight="1">
      <c r="A12" s="1120"/>
      <c r="B12" s="569" t="s">
        <v>254</v>
      </c>
      <c r="C12" s="413"/>
      <c r="D12" s="529">
        <v>0</v>
      </c>
      <c r="E12" s="130">
        <v>0</v>
      </c>
      <c r="F12" s="530"/>
      <c r="G12" s="529">
        <f t="shared" ref="G12:G14" si="0">P12*H12</f>
        <v>510906.47187056224</v>
      </c>
      <c r="H12" s="273">
        <f>'2. SCFF College Data '!K19</f>
        <v>0.35258759152431451</v>
      </c>
      <c r="I12" s="313"/>
      <c r="J12" s="529">
        <f t="shared" ref="J12:J14" si="1">P12*K12</f>
        <v>702398.28477420588</v>
      </c>
      <c r="K12" s="273">
        <f>'2. SCFF College Data '!O19</f>
        <v>0.48474022772232672</v>
      </c>
      <c r="L12" s="317"/>
      <c r="M12" s="529">
        <f t="shared" ref="M12:M14" si="2">P12*N12</f>
        <v>235715.24335523183</v>
      </c>
      <c r="N12" s="273">
        <f>'2. SCFF College Data '!S19</f>
        <v>0.16267218075335871</v>
      </c>
      <c r="O12" s="263"/>
      <c r="P12" s="559">
        <v>1449020</v>
      </c>
      <c r="Q12" s="575"/>
      <c r="R12" s="275"/>
      <c r="T12" s="518">
        <v>1481019</v>
      </c>
    </row>
    <row r="13" spans="1:20" ht="15" customHeight="1">
      <c r="A13" s="1120"/>
      <c r="B13" s="569" t="s">
        <v>255</v>
      </c>
      <c r="C13" s="413"/>
      <c r="D13" s="529">
        <v>0</v>
      </c>
      <c r="E13" s="130">
        <v>0</v>
      </c>
      <c r="F13" s="530"/>
      <c r="G13" s="529">
        <f t="shared" si="0"/>
        <v>1842237.02248094</v>
      </c>
      <c r="H13" s="273">
        <f>'2. SCFF College Data '!K19</f>
        <v>0.35258759152431451</v>
      </c>
      <c r="I13" s="313"/>
      <c r="J13" s="529">
        <f t="shared" si="1"/>
        <v>2532722.1242677514</v>
      </c>
      <c r="K13" s="273">
        <f>'2. SCFF College Data '!O19</f>
        <v>0.48474022772232672</v>
      </c>
      <c r="L13" s="317"/>
      <c r="M13" s="529">
        <f t="shared" si="2"/>
        <v>849946.85325130844</v>
      </c>
      <c r="N13" s="273">
        <f>'2. SCFF College Data '!S19</f>
        <v>0.16267218075335871</v>
      </c>
      <c r="O13" s="263"/>
      <c r="P13" s="559">
        <v>5224906</v>
      </c>
      <c r="Q13" s="575"/>
      <c r="R13" s="275"/>
      <c r="T13" s="456">
        <v>5027640</v>
      </c>
    </row>
    <row r="14" spans="1:20" ht="15" customHeight="1">
      <c r="A14" s="1120"/>
      <c r="B14" s="569" t="s">
        <v>256</v>
      </c>
      <c r="C14" s="413"/>
      <c r="D14" s="529">
        <v>0</v>
      </c>
      <c r="E14" s="130">
        <v>0</v>
      </c>
      <c r="F14" s="530"/>
      <c r="G14" s="529">
        <f t="shared" si="0"/>
        <v>352391.55282342702</v>
      </c>
      <c r="H14" s="273">
        <f>'2. SCFF College Data '!K19</f>
        <v>0.35258759152431451</v>
      </c>
      <c r="I14" s="313"/>
      <c r="J14" s="529">
        <f t="shared" si="1"/>
        <v>484470.71215571312</v>
      </c>
      <c r="K14" s="273">
        <f>'2. SCFF College Data '!O19</f>
        <v>0.48474022772232672</v>
      </c>
      <c r="L14" s="317"/>
      <c r="M14" s="529">
        <f t="shared" si="2"/>
        <v>162581.73502085984</v>
      </c>
      <c r="N14" s="273">
        <f>'2. SCFF College Data '!S19</f>
        <v>0.16267218075335871</v>
      </c>
      <c r="O14" s="263"/>
      <c r="P14" s="559">
        <v>999444</v>
      </c>
      <c r="Q14" s="575"/>
      <c r="R14" s="275"/>
      <c r="T14" s="456">
        <v>1009265</v>
      </c>
    </row>
    <row r="15" spans="1:20" ht="15.75" customHeight="1" thickBot="1">
      <c r="A15" s="1121"/>
      <c r="B15" s="1125" t="s">
        <v>15</v>
      </c>
      <c r="C15" s="1126"/>
      <c r="D15" s="531">
        <f>SUM(D11:D14)</f>
        <v>0</v>
      </c>
      <c r="E15" s="532">
        <f>SUM(E11:E14)</f>
        <v>0</v>
      </c>
      <c r="F15" s="533"/>
      <c r="G15" s="534">
        <f>SUM(G11:G14)</f>
        <v>2920130.0804167814</v>
      </c>
      <c r="H15" s="517">
        <f>IFERROR(G15/P15, 0)</f>
        <v>0.35258759152431451</v>
      </c>
      <c r="I15" s="315"/>
      <c r="J15" s="534">
        <f>SUM(J11:J14)</f>
        <v>4014618.0812560827</v>
      </c>
      <c r="K15" s="517">
        <f>IFERROR(J15/P15, 0)</f>
        <v>0.48474022772232678</v>
      </c>
      <c r="L15" s="452"/>
      <c r="M15" s="534">
        <f>SUM(M11:M14)</f>
        <v>1347250.8383271361</v>
      </c>
      <c r="N15" s="825">
        <f>IFERROR(M15/P15, 0)</f>
        <v>0.16267218075335871</v>
      </c>
      <c r="O15" s="453"/>
      <c r="P15" s="560">
        <f>SUM(P11:P14)</f>
        <v>8281999</v>
      </c>
      <c r="Q15" s="576"/>
      <c r="R15" s="446"/>
      <c r="S15" s="456"/>
    </row>
    <row r="16" spans="1:20" ht="27.75" customHeight="1">
      <c r="A16" s="1127" t="s">
        <v>204</v>
      </c>
      <c r="B16" s="412"/>
      <c r="C16" s="413"/>
      <c r="D16" s="535"/>
      <c r="E16" s="536"/>
      <c r="F16" s="530"/>
      <c r="G16" s="537"/>
      <c r="H16" s="273"/>
      <c r="I16" s="311"/>
      <c r="J16" s="537"/>
      <c r="K16" s="273"/>
      <c r="L16" s="319"/>
      <c r="M16" s="537"/>
      <c r="N16" s="273"/>
      <c r="O16" s="276"/>
      <c r="P16" s="559"/>
      <c r="Q16" s="575"/>
      <c r="R16" s="275"/>
    </row>
    <row r="17" spans="1:21" ht="15" customHeight="1">
      <c r="A17" s="1128"/>
      <c r="B17" s="410" t="s">
        <v>201</v>
      </c>
      <c r="C17" s="413"/>
      <c r="D17" s="538"/>
      <c r="E17" s="489"/>
      <c r="F17" s="539"/>
      <c r="G17" s="540"/>
      <c r="H17" s="282"/>
      <c r="I17" s="314"/>
      <c r="J17" s="540"/>
      <c r="K17" s="282"/>
      <c r="L17" s="321"/>
      <c r="M17" s="540"/>
      <c r="N17" s="282"/>
      <c r="O17" s="289"/>
      <c r="P17" s="561"/>
      <c r="Q17" s="577"/>
      <c r="R17" s="414"/>
    </row>
    <row r="18" spans="1:21" ht="15" customHeight="1">
      <c r="A18" s="1128"/>
      <c r="B18" s="336" t="s">
        <v>227</v>
      </c>
      <c r="C18" s="413"/>
      <c r="D18" s="541">
        <v>0</v>
      </c>
      <c r="E18" s="130">
        <v>0</v>
      </c>
      <c r="F18" s="530"/>
      <c r="G18" s="529">
        <v>1000</v>
      </c>
      <c r="H18" s="133">
        <f>IFERROR(G18/P18, 0)</f>
        <v>1</v>
      </c>
      <c r="I18" s="313"/>
      <c r="J18" s="529">
        <v>0</v>
      </c>
      <c r="K18" s="133">
        <f>IFERROR(J18/P18, 0)</f>
        <v>0</v>
      </c>
      <c r="L18" s="317"/>
      <c r="M18" s="529">
        <v>0</v>
      </c>
      <c r="N18" s="133">
        <f>IFERROR(M18/P18, 0)</f>
        <v>0</v>
      </c>
      <c r="O18" s="263"/>
      <c r="P18" s="562">
        <f t="shared" ref="P18:P46" si="3">SUM(D18:E18, G18, J18, M18)</f>
        <v>1000</v>
      </c>
      <c r="Q18" s="575"/>
      <c r="R18" s="275"/>
      <c r="T18" t="s">
        <v>213</v>
      </c>
      <c r="U18" t="s">
        <v>226</v>
      </c>
    </row>
    <row r="19" spans="1:21" ht="15" customHeight="1">
      <c r="A19" s="1128"/>
      <c r="B19" s="336" t="s">
        <v>228</v>
      </c>
      <c r="C19" s="413"/>
      <c r="D19" s="529">
        <v>0</v>
      </c>
      <c r="E19" s="130">
        <v>0</v>
      </c>
      <c r="F19" s="530"/>
      <c r="G19" s="529">
        <v>0</v>
      </c>
      <c r="H19" s="133">
        <f t="shared" ref="H19:H45" si="4">IFERROR(G19/P19, 0)</f>
        <v>0</v>
      </c>
      <c r="I19" s="313"/>
      <c r="J19" s="529">
        <v>35000</v>
      </c>
      <c r="K19" s="133">
        <f t="shared" ref="K19:K45" si="5">IFERROR(J19/P19, 0)</f>
        <v>0.9453327571305099</v>
      </c>
      <c r="L19" s="317"/>
      <c r="M19" s="529">
        <v>2024</v>
      </c>
      <c r="N19" s="133">
        <f t="shared" ref="N19:N45" si="6">IFERROR(M19/P19, 0)</f>
        <v>5.4667242869490061E-2</v>
      </c>
      <c r="O19" s="263"/>
      <c r="P19" s="559">
        <f t="shared" si="3"/>
        <v>37024</v>
      </c>
      <c r="Q19" s="575"/>
      <c r="R19" s="275"/>
      <c r="T19" t="s">
        <v>214</v>
      </c>
    </row>
    <row r="20" spans="1:21" ht="15" customHeight="1">
      <c r="A20" s="1128"/>
      <c r="B20" s="336" t="s">
        <v>229</v>
      </c>
      <c r="C20" s="413"/>
      <c r="D20" s="529">
        <v>0</v>
      </c>
      <c r="E20" s="130">
        <v>0</v>
      </c>
      <c r="F20" s="530"/>
      <c r="G20" s="529">
        <v>0</v>
      </c>
      <c r="H20" s="133">
        <f t="shared" si="4"/>
        <v>0</v>
      </c>
      <c r="I20" s="313"/>
      <c r="J20" s="529">
        <v>25000</v>
      </c>
      <c r="K20" s="133">
        <f t="shared" si="5"/>
        <v>1</v>
      </c>
      <c r="L20" s="317"/>
      <c r="M20" s="529">
        <v>0</v>
      </c>
      <c r="N20" s="133">
        <f t="shared" si="6"/>
        <v>0</v>
      </c>
      <c r="O20" s="263"/>
      <c r="P20" s="559">
        <f t="shared" si="3"/>
        <v>25000</v>
      </c>
      <c r="Q20" s="575"/>
      <c r="R20" s="275"/>
      <c r="S20" s="451"/>
      <c r="T20" t="s">
        <v>207</v>
      </c>
    </row>
    <row r="21" spans="1:21" ht="15" customHeight="1">
      <c r="A21" s="1128"/>
      <c r="B21" s="336" t="s">
        <v>230</v>
      </c>
      <c r="C21" s="413"/>
      <c r="D21" s="529">
        <v>0</v>
      </c>
      <c r="E21" s="130">
        <v>0</v>
      </c>
      <c r="F21" s="530"/>
      <c r="G21" s="529">
        <v>0</v>
      </c>
      <c r="H21" s="133">
        <f t="shared" si="4"/>
        <v>0</v>
      </c>
      <c r="I21" s="313"/>
      <c r="J21" s="529">
        <v>0</v>
      </c>
      <c r="K21" s="133">
        <f t="shared" si="5"/>
        <v>0</v>
      </c>
      <c r="L21" s="317"/>
      <c r="M21" s="529">
        <v>350000</v>
      </c>
      <c r="N21" s="133">
        <f t="shared" si="6"/>
        <v>1</v>
      </c>
      <c r="O21" s="263"/>
      <c r="P21" s="559">
        <f t="shared" si="3"/>
        <v>350000</v>
      </c>
      <c r="Q21" s="575"/>
      <c r="R21" s="275"/>
      <c r="T21" t="s">
        <v>208</v>
      </c>
    </row>
    <row r="22" spans="1:21" ht="15" customHeight="1">
      <c r="A22" s="1128"/>
      <c r="B22" s="336" t="s">
        <v>231</v>
      </c>
      <c r="C22" s="413"/>
      <c r="D22" s="529">
        <v>0</v>
      </c>
      <c r="E22" s="542">
        <v>0</v>
      </c>
      <c r="F22" s="530"/>
      <c r="G22" s="529">
        <v>10069</v>
      </c>
      <c r="H22" s="133">
        <f t="shared" si="4"/>
        <v>9.1478981366233905E-2</v>
      </c>
      <c r="I22" s="313"/>
      <c r="J22" s="529">
        <v>100000</v>
      </c>
      <c r="K22" s="133">
        <f t="shared" si="5"/>
        <v>0.90852101863376611</v>
      </c>
      <c r="L22" s="317"/>
      <c r="M22" s="529">
        <v>0</v>
      </c>
      <c r="N22" s="133">
        <f t="shared" si="6"/>
        <v>0</v>
      </c>
      <c r="O22" s="263"/>
      <c r="P22" s="559">
        <f t="shared" si="3"/>
        <v>110069</v>
      </c>
      <c r="Q22" s="575"/>
      <c r="R22" s="275"/>
      <c r="T22" t="s">
        <v>215</v>
      </c>
    </row>
    <row r="23" spans="1:21" ht="15" customHeight="1">
      <c r="A23" s="1128"/>
      <c r="B23" s="336" t="s">
        <v>232</v>
      </c>
      <c r="C23" s="413"/>
      <c r="D23" s="541">
        <v>0</v>
      </c>
      <c r="E23" s="542">
        <v>0</v>
      </c>
      <c r="F23" s="530"/>
      <c r="G23" s="529">
        <v>400000</v>
      </c>
      <c r="H23" s="133">
        <f t="shared" si="4"/>
        <v>1</v>
      </c>
      <c r="I23" s="313"/>
      <c r="J23" s="529">
        <v>0</v>
      </c>
      <c r="K23" s="133">
        <f t="shared" si="5"/>
        <v>0</v>
      </c>
      <c r="L23" s="317"/>
      <c r="M23" s="529">
        <v>0</v>
      </c>
      <c r="N23" s="133">
        <f t="shared" si="6"/>
        <v>0</v>
      </c>
      <c r="O23" s="263"/>
      <c r="P23" s="559">
        <f t="shared" si="3"/>
        <v>400000</v>
      </c>
      <c r="Q23" s="575"/>
      <c r="R23" s="275"/>
      <c r="T23" t="s">
        <v>209</v>
      </c>
    </row>
    <row r="24" spans="1:21" ht="15" customHeight="1">
      <c r="A24" s="1128"/>
      <c r="B24" s="336" t="s">
        <v>233</v>
      </c>
      <c r="C24" s="413"/>
      <c r="D24" s="529">
        <v>0</v>
      </c>
      <c r="E24" s="542">
        <v>0</v>
      </c>
      <c r="F24" s="530"/>
      <c r="G24" s="529">
        <v>46113</v>
      </c>
      <c r="H24" s="133">
        <f t="shared" si="4"/>
        <v>1</v>
      </c>
      <c r="I24" s="313"/>
      <c r="J24" s="529">
        <v>0</v>
      </c>
      <c r="K24" s="133">
        <f t="shared" si="5"/>
        <v>0</v>
      </c>
      <c r="L24" s="317"/>
      <c r="M24" s="529">
        <v>0</v>
      </c>
      <c r="N24" s="133">
        <f t="shared" si="6"/>
        <v>0</v>
      </c>
      <c r="O24" s="263"/>
      <c r="P24" s="559">
        <f t="shared" si="3"/>
        <v>46113</v>
      </c>
      <c r="Q24" s="575"/>
      <c r="R24" s="275"/>
      <c r="T24" t="s">
        <v>210</v>
      </c>
    </row>
    <row r="25" spans="1:21" ht="15" customHeight="1">
      <c r="A25" s="1128"/>
      <c r="B25" s="336" t="s">
        <v>234</v>
      </c>
      <c r="C25" s="413"/>
      <c r="D25" s="529">
        <v>0</v>
      </c>
      <c r="E25" s="542">
        <v>0</v>
      </c>
      <c r="F25" s="530"/>
      <c r="G25" s="529">
        <v>2600</v>
      </c>
      <c r="H25" s="133">
        <f t="shared" si="4"/>
        <v>1</v>
      </c>
      <c r="I25" s="313"/>
      <c r="J25" s="529">
        <v>0</v>
      </c>
      <c r="K25" s="133">
        <f t="shared" si="5"/>
        <v>0</v>
      </c>
      <c r="L25" s="317"/>
      <c r="M25" s="529">
        <v>0</v>
      </c>
      <c r="N25" s="133">
        <f t="shared" si="6"/>
        <v>0</v>
      </c>
      <c r="O25" s="263"/>
      <c r="P25" s="559">
        <f t="shared" si="3"/>
        <v>2600</v>
      </c>
      <c r="Q25" s="575"/>
      <c r="R25" s="275"/>
    </row>
    <row r="26" spans="1:21" ht="15" customHeight="1">
      <c r="A26" s="1128"/>
      <c r="B26" s="336" t="s">
        <v>235</v>
      </c>
      <c r="C26" s="413"/>
      <c r="D26" s="529">
        <v>0</v>
      </c>
      <c r="E26" s="542">
        <v>0</v>
      </c>
      <c r="F26" s="530"/>
      <c r="G26" s="529">
        <v>0</v>
      </c>
      <c r="H26" s="133">
        <f t="shared" si="4"/>
        <v>0</v>
      </c>
      <c r="I26" s="313"/>
      <c r="J26" s="529">
        <v>0</v>
      </c>
      <c r="K26" s="133">
        <f t="shared" si="5"/>
        <v>0</v>
      </c>
      <c r="L26" s="317"/>
      <c r="M26" s="529">
        <v>0</v>
      </c>
      <c r="N26" s="133">
        <f t="shared" si="6"/>
        <v>0</v>
      </c>
      <c r="O26" s="263"/>
      <c r="P26" s="559">
        <f t="shared" si="3"/>
        <v>0</v>
      </c>
      <c r="Q26" s="575"/>
      <c r="R26" s="275"/>
      <c r="T26" s="566" t="s">
        <v>260</v>
      </c>
    </row>
    <row r="27" spans="1:21" ht="15" customHeight="1">
      <c r="A27" s="1128"/>
      <c r="B27" s="336" t="s">
        <v>236</v>
      </c>
      <c r="C27" s="413"/>
      <c r="D27" s="529">
        <v>0</v>
      </c>
      <c r="E27" s="542">
        <v>0</v>
      </c>
      <c r="F27" s="530"/>
      <c r="G27" s="529">
        <v>100</v>
      </c>
      <c r="H27" s="133">
        <f t="shared" si="4"/>
        <v>1</v>
      </c>
      <c r="I27" s="313"/>
      <c r="J27" s="529">
        <v>0</v>
      </c>
      <c r="K27" s="133">
        <f t="shared" si="5"/>
        <v>0</v>
      </c>
      <c r="L27" s="317"/>
      <c r="M27" s="529">
        <v>0</v>
      </c>
      <c r="N27" s="133">
        <f t="shared" si="6"/>
        <v>0</v>
      </c>
      <c r="O27" s="263"/>
      <c r="P27" s="559">
        <f t="shared" si="3"/>
        <v>100</v>
      </c>
      <c r="Q27" s="575"/>
      <c r="R27" s="275"/>
    </row>
    <row r="28" spans="1:21" ht="15" customHeight="1">
      <c r="A28" s="1128"/>
      <c r="B28" s="336" t="s">
        <v>221</v>
      </c>
      <c r="C28" s="413"/>
      <c r="D28" s="529">
        <v>0</v>
      </c>
      <c r="E28" s="542">
        <v>0</v>
      </c>
      <c r="F28" s="530"/>
      <c r="G28" s="529">
        <v>20000</v>
      </c>
      <c r="H28" s="133">
        <f t="shared" si="4"/>
        <v>0.33333333333333331</v>
      </c>
      <c r="I28" s="313"/>
      <c r="J28" s="529">
        <v>40000</v>
      </c>
      <c r="K28" s="133">
        <f t="shared" si="5"/>
        <v>0.66666666666666663</v>
      </c>
      <c r="L28" s="317"/>
      <c r="M28" s="529">
        <v>0</v>
      </c>
      <c r="N28" s="133">
        <f t="shared" si="6"/>
        <v>0</v>
      </c>
      <c r="O28" s="263"/>
      <c r="P28" s="559">
        <f t="shared" si="3"/>
        <v>60000</v>
      </c>
      <c r="Q28" s="575"/>
      <c r="R28" s="275"/>
    </row>
    <row r="29" spans="1:21" ht="15" customHeight="1">
      <c r="A29" s="1128"/>
      <c r="B29" s="519" t="s">
        <v>217</v>
      </c>
      <c r="C29" s="413"/>
      <c r="D29" s="543">
        <v>0</v>
      </c>
      <c r="E29" s="544">
        <v>0</v>
      </c>
      <c r="F29" s="545"/>
      <c r="G29" s="543">
        <v>162700</v>
      </c>
      <c r="H29" s="520">
        <f t="shared" si="4"/>
        <v>0.21200824056615453</v>
      </c>
      <c r="I29" s="521"/>
      <c r="J29" s="543">
        <v>604223</v>
      </c>
      <c r="K29" s="520">
        <f t="shared" si="5"/>
        <v>0.78734022827045835</v>
      </c>
      <c r="L29" s="522"/>
      <c r="M29" s="543">
        <v>500</v>
      </c>
      <c r="N29" s="520">
        <f t="shared" si="6"/>
        <v>6.5153116338707601E-4</v>
      </c>
      <c r="O29" s="523"/>
      <c r="P29" s="563">
        <f t="shared" si="3"/>
        <v>767423</v>
      </c>
      <c r="Q29" s="575"/>
      <c r="R29" s="275"/>
    </row>
    <row r="30" spans="1:21" s="134" customFormat="1" ht="15" customHeight="1">
      <c r="A30" s="1128"/>
      <c r="B30" s="519" t="s">
        <v>257</v>
      </c>
      <c r="C30" s="413"/>
      <c r="D30" s="543">
        <v>0</v>
      </c>
      <c r="E30" s="544">
        <v>0</v>
      </c>
      <c r="F30" s="545"/>
      <c r="G30" s="543">
        <f>1000000*'2. SCFF College Data '!K19</f>
        <v>352587.59152431454</v>
      </c>
      <c r="H30" s="520">
        <f t="shared" si="4"/>
        <v>0.35258759152431457</v>
      </c>
      <c r="I30" s="521"/>
      <c r="J30" s="543">
        <f>1000000*'2. SCFF College Data '!O19</f>
        <v>484740.2277223267</v>
      </c>
      <c r="K30" s="520">
        <f t="shared" si="5"/>
        <v>0.48474022772232672</v>
      </c>
      <c r="L30" s="522"/>
      <c r="M30" s="543">
        <f>1000000*'2. SCFF College Data '!S19</f>
        <v>162672.1807533587</v>
      </c>
      <c r="N30" s="520">
        <f t="shared" si="6"/>
        <v>0.16267218075335871</v>
      </c>
      <c r="O30" s="523"/>
      <c r="P30" s="563">
        <f t="shared" si="3"/>
        <v>1000000</v>
      </c>
      <c r="Q30" s="578"/>
      <c r="R30" s="567"/>
      <c r="T30" s="568">
        <v>1000000</v>
      </c>
    </row>
    <row r="31" spans="1:21" ht="15" customHeight="1">
      <c r="A31" s="1128"/>
      <c r="B31" s="519" t="s">
        <v>237</v>
      </c>
      <c r="C31" s="413"/>
      <c r="D31" s="543">
        <v>0</v>
      </c>
      <c r="E31" s="544">
        <v>0</v>
      </c>
      <c r="F31" s="545"/>
      <c r="G31" s="543">
        <v>6300</v>
      </c>
      <c r="H31" s="520">
        <f t="shared" si="4"/>
        <v>1</v>
      </c>
      <c r="I31" s="521"/>
      <c r="J31" s="543">
        <v>0</v>
      </c>
      <c r="K31" s="520">
        <f t="shared" si="5"/>
        <v>0</v>
      </c>
      <c r="L31" s="522"/>
      <c r="M31" s="543">
        <v>0</v>
      </c>
      <c r="N31" s="520">
        <f t="shared" si="6"/>
        <v>0</v>
      </c>
      <c r="O31" s="523"/>
      <c r="P31" s="563">
        <f t="shared" si="3"/>
        <v>6300</v>
      </c>
      <c r="Q31" s="575"/>
      <c r="R31" s="275"/>
    </row>
    <row r="32" spans="1:21" ht="15" customHeight="1">
      <c r="A32" s="1128"/>
      <c r="B32" s="519" t="s">
        <v>222</v>
      </c>
      <c r="C32" s="413"/>
      <c r="D32" s="543">
        <v>0</v>
      </c>
      <c r="E32" s="544">
        <v>0</v>
      </c>
      <c r="F32" s="545"/>
      <c r="G32" s="543">
        <f>124200+10000*'2. SCFF College Data '!K19</f>
        <v>127725.87591524314</v>
      </c>
      <c r="H32" s="520">
        <f t="shared" si="4"/>
        <v>0.93778176149224046</v>
      </c>
      <c r="I32" s="521"/>
      <c r="J32" s="543">
        <f>10000*'2. SCFF College Data '!O19</f>
        <v>4847.4022772232674</v>
      </c>
      <c r="K32" s="520">
        <f t="shared" si="5"/>
        <v>3.5590325089744988E-2</v>
      </c>
      <c r="L32" s="522"/>
      <c r="M32" s="543">
        <f>2000+10000*'2. SCFF College Data '!S19</f>
        <v>3626.7218075335868</v>
      </c>
      <c r="N32" s="520">
        <f t="shared" si="6"/>
        <v>2.6627913418014588E-2</v>
      </c>
      <c r="O32" s="523"/>
      <c r="P32" s="563">
        <f t="shared" si="3"/>
        <v>136200</v>
      </c>
      <c r="Q32" s="579"/>
      <c r="S32" s="582"/>
    </row>
    <row r="33" spans="1:20" ht="15" customHeight="1">
      <c r="A33" s="1128"/>
      <c r="B33" s="519" t="s">
        <v>211</v>
      </c>
      <c r="C33" s="413"/>
      <c r="D33" s="543">
        <v>0</v>
      </c>
      <c r="E33" s="544">
        <v>0</v>
      </c>
      <c r="F33" s="545"/>
      <c r="G33" s="543">
        <v>983600</v>
      </c>
      <c r="H33" s="520">
        <f t="shared" si="4"/>
        <v>0.30737500000000001</v>
      </c>
      <c r="I33" s="521"/>
      <c r="J33" s="543">
        <v>2216400</v>
      </c>
      <c r="K33" s="520">
        <f t="shared" si="5"/>
        <v>0.69262500000000005</v>
      </c>
      <c r="L33" s="522"/>
      <c r="M33" s="543">
        <v>0</v>
      </c>
      <c r="N33" s="520">
        <f t="shared" si="6"/>
        <v>0</v>
      </c>
      <c r="O33" s="523"/>
      <c r="P33" s="563">
        <f t="shared" si="3"/>
        <v>3200000</v>
      </c>
      <c r="Q33" s="575"/>
      <c r="R33" s="273"/>
      <c r="S33" s="456"/>
    </row>
    <row r="34" spans="1:20" ht="15" customHeight="1">
      <c r="A34" s="1128"/>
      <c r="B34" s="519" t="s">
        <v>224</v>
      </c>
      <c r="C34" s="413"/>
      <c r="D34" s="543">
        <v>0</v>
      </c>
      <c r="E34" s="544">
        <v>0</v>
      </c>
      <c r="F34" s="545"/>
      <c r="G34" s="543"/>
      <c r="H34" s="520">
        <f>IFERROR(G34/P34, 0)</f>
        <v>0</v>
      </c>
      <c r="I34" s="521"/>
      <c r="J34" s="543">
        <v>0</v>
      </c>
      <c r="K34" s="520">
        <f t="shared" si="5"/>
        <v>0</v>
      </c>
      <c r="L34" s="522"/>
      <c r="M34" s="543">
        <v>50000</v>
      </c>
      <c r="N34" s="520">
        <f t="shared" si="6"/>
        <v>1</v>
      </c>
      <c r="O34" s="523"/>
      <c r="P34" s="563">
        <f>SUM(D34:E34, G34, J34, M34)</f>
        <v>50000</v>
      </c>
      <c r="Q34" s="575"/>
      <c r="R34" s="273"/>
      <c r="S34" s="456"/>
    </row>
    <row r="35" spans="1:20" ht="15" customHeight="1">
      <c r="A35" s="1128"/>
      <c r="B35" s="519" t="s">
        <v>238</v>
      </c>
      <c r="C35" s="413"/>
      <c r="D35" s="543">
        <v>0</v>
      </c>
      <c r="E35" s="544">
        <v>0</v>
      </c>
      <c r="F35" s="545"/>
      <c r="G35" s="543">
        <v>64500</v>
      </c>
      <c r="H35" s="520">
        <f>IFERROR(G35/P35, 0)</f>
        <v>0.68253968253968256</v>
      </c>
      <c r="I35" s="521"/>
      <c r="J35" s="543">
        <v>30000</v>
      </c>
      <c r="K35" s="520">
        <f t="shared" si="5"/>
        <v>0.31746031746031744</v>
      </c>
      <c r="L35" s="522"/>
      <c r="M35" s="543">
        <v>0</v>
      </c>
      <c r="N35" s="520">
        <f t="shared" si="6"/>
        <v>0</v>
      </c>
      <c r="O35" s="523"/>
      <c r="P35" s="563">
        <f>SUM(D35:E35, G35, J35, M35)</f>
        <v>94500</v>
      </c>
      <c r="Q35" s="575"/>
      <c r="R35" s="273"/>
      <c r="S35" s="456"/>
    </row>
    <row r="36" spans="1:20" ht="15" customHeight="1">
      <c r="A36" s="1128"/>
      <c r="B36" s="519" t="s">
        <v>300</v>
      </c>
      <c r="C36" s="413"/>
      <c r="D36" s="543">
        <v>0</v>
      </c>
      <c r="E36" s="544">
        <v>0</v>
      </c>
      <c r="F36" s="545"/>
      <c r="G36" s="543">
        <f>501109*'2. SCFF College Data '!K19</f>
        <v>176684.81540115771</v>
      </c>
      <c r="H36" s="520">
        <f t="shared" si="4"/>
        <v>0.35258759152431451</v>
      </c>
      <c r="I36" s="521"/>
      <c r="J36" s="543">
        <f>501109*'2. SCFF College Data '!O19</f>
        <v>242907.69077370741</v>
      </c>
      <c r="K36" s="520">
        <f t="shared" si="5"/>
        <v>0.48474022772232678</v>
      </c>
      <c r="L36" s="522"/>
      <c r="M36" s="543">
        <f>501109*'2. SCFF College Data '!S19</f>
        <v>81516.493825134836</v>
      </c>
      <c r="N36" s="520">
        <f t="shared" si="6"/>
        <v>0.16267218075335874</v>
      </c>
      <c r="O36" s="523"/>
      <c r="P36" s="563">
        <f t="shared" si="3"/>
        <v>501108.99999999994</v>
      </c>
      <c r="Q36" s="575"/>
      <c r="R36" s="275"/>
    </row>
    <row r="37" spans="1:20" ht="15" customHeight="1">
      <c r="A37" s="1128"/>
      <c r="B37" s="519" t="s">
        <v>223</v>
      </c>
      <c r="C37" s="413"/>
      <c r="D37" s="543">
        <v>0</v>
      </c>
      <c r="E37" s="544">
        <v>0</v>
      </c>
      <c r="F37" s="545"/>
      <c r="G37" s="543">
        <v>0</v>
      </c>
      <c r="H37" s="520">
        <f t="shared" si="4"/>
        <v>0</v>
      </c>
      <c r="I37" s="521"/>
      <c r="J37" s="543">
        <v>0</v>
      </c>
      <c r="K37" s="520">
        <f t="shared" si="5"/>
        <v>0</v>
      </c>
      <c r="L37" s="522"/>
      <c r="M37" s="543">
        <v>0</v>
      </c>
      <c r="N37" s="520">
        <f t="shared" si="6"/>
        <v>0</v>
      </c>
      <c r="O37" s="523"/>
      <c r="P37" s="563">
        <f t="shared" si="3"/>
        <v>0</v>
      </c>
      <c r="Q37" s="575"/>
      <c r="R37" s="275"/>
      <c r="S37" s="456"/>
    </row>
    <row r="38" spans="1:20" ht="15" customHeight="1">
      <c r="A38" s="1128"/>
      <c r="B38" s="519" t="s">
        <v>239</v>
      </c>
      <c r="C38" s="413"/>
      <c r="D38" s="543">
        <v>0</v>
      </c>
      <c r="E38" s="544">
        <v>0</v>
      </c>
      <c r="F38" s="545"/>
      <c r="G38" s="543">
        <v>0</v>
      </c>
      <c r="H38" s="520">
        <f t="shared" si="4"/>
        <v>0</v>
      </c>
      <c r="I38" s="521"/>
      <c r="J38" s="543">
        <v>0</v>
      </c>
      <c r="K38" s="520">
        <f t="shared" si="5"/>
        <v>0</v>
      </c>
      <c r="L38" s="522"/>
      <c r="M38" s="543">
        <v>0</v>
      </c>
      <c r="N38" s="520">
        <f t="shared" si="6"/>
        <v>0</v>
      </c>
      <c r="O38" s="523"/>
      <c r="P38" s="563">
        <f t="shared" si="3"/>
        <v>0</v>
      </c>
      <c r="Q38" s="575"/>
      <c r="R38" s="275"/>
    </row>
    <row r="39" spans="1:20" ht="15" customHeight="1">
      <c r="A39" s="1128"/>
      <c r="B39" s="519" t="s">
        <v>240</v>
      </c>
      <c r="C39" s="413"/>
      <c r="D39" s="543">
        <v>0</v>
      </c>
      <c r="E39" s="544">
        <v>0</v>
      </c>
      <c r="F39" s="545"/>
      <c r="G39" s="543">
        <v>0</v>
      </c>
      <c r="H39" s="520">
        <f t="shared" si="4"/>
        <v>0</v>
      </c>
      <c r="I39" s="521"/>
      <c r="J39" s="543">
        <v>0</v>
      </c>
      <c r="K39" s="520">
        <f t="shared" si="5"/>
        <v>0</v>
      </c>
      <c r="L39" s="522"/>
      <c r="M39" s="543">
        <v>0</v>
      </c>
      <c r="N39" s="520">
        <f t="shared" si="6"/>
        <v>0</v>
      </c>
      <c r="O39" s="523"/>
      <c r="P39" s="563">
        <f t="shared" si="3"/>
        <v>0</v>
      </c>
      <c r="Q39" s="575"/>
      <c r="R39" s="275"/>
    </row>
    <row r="40" spans="1:20" ht="15" customHeight="1">
      <c r="A40" s="1128"/>
      <c r="B40" s="519" t="s">
        <v>241</v>
      </c>
      <c r="C40" s="413"/>
      <c r="D40" s="543">
        <v>0</v>
      </c>
      <c r="E40" s="544">
        <v>0</v>
      </c>
      <c r="F40" s="545"/>
      <c r="G40" s="543">
        <v>0</v>
      </c>
      <c r="H40" s="520">
        <f t="shared" si="4"/>
        <v>0</v>
      </c>
      <c r="I40" s="521"/>
      <c r="J40" s="543">
        <v>0</v>
      </c>
      <c r="K40" s="520">
        <f t="shared" si="5"/>
        <v>0</v>
      </c>
      <c r="L40" s="522"/>
      <c r="M40" s="543">
        <v>0</v>
      </c>
      <c r="N40" s="520">
        <f t="shared" si="6"/>
        <v>0</v>
      </c>
      <c r="O40" s="523"/>
      <c r="P40" s="563">
        <f t="shared" si="3"/>
        <v>0</v>
      </c>
      <c r="Q40" s="575"/>
      <c r="R40" s="275"/>
    </row>
    <row r="41" spans="1:20" ht="15" customHeight="1">
      <c r="A41" s="1128"/>
      <c r="B41" s="519" t="s">
        <v>242</v>
      </c>
      <c r="C41" s="413"/>
      <c r="D41" s="543">
        <v>0</v>
      </c>
      <c r="E41" s="544">
        <v>0</v>
      </c>
      <c r="F41" s="545"/>
      <c r="G41" s="543">
        <v>0</v>
      </c>
      <c r="H41" s="520">
        <f t="shared" si="4"/>
        <v>0</v>
      </c>
      <c r="I41" s="521"/>
      <c r="J41" s="543">
        <v>0</v>
      </c>
      <c r="K41" s="520">
        <f t="shared" si="5"/>
        <v>0</v>
      </c>
      <c r="L41" s="522"/>
      <c r="M41" s="543">
        <v>0</v>
      </c>
      <c r="N41" s="520">
        <f t="shared" si="6"/>
        <v>0</v>
      </c>
      <c r="O41" s="523"/>
      <c r="P41" s="563">
        <f t="shared" si="3"/>
        <v>0</v>
      </c>
      <c r="Q41" s="575"/>
      <c r="R41" s="275"/>
    </row>
    <row r="42" spans="1:20" ht="15" customHeight="1">
      <c r="A42" s="1128"/>
      <c r="B42" s="519" t="s">
        <v>243</v>
      </c>
      <c r="C42" s="413"/>
      <c r="D42" s="543">
        <v>0</v>
      </c>
      <c r="E42" s="544">
        <v>0</v>
      </c>
      <c r="F42" s="545"/>
      <c r="G42" s="543">
        <v>1632215</v>
      </c>
      <c r="H42" s="520">
        <f t="shared" si="4"/>
        <v>0.98729747794448997</v>
      </c>
      <c r="I42" s="521"/>
      <c r="J42" s="543">
        <v>20000</v>
      </c>
      <c r="K42" s="520">
        <f t="shared" si="5"/>
        <v>1.2097640052866687E-2</v>
      </c>
      <c r="L42" s="522"/>
      <c r="M42" s="543">
        <v>1000</v>
      </c>
      <c r="N42" s="520">
        <f t="shared" si="6"/>
        <v>6.0488200264333439E-4</v>
      </c>
      <c r="O42" s="523"/>
      <c r="P42" s="563">
        <f t="shared" si="3"/>
        <v>1653215</v>
      </c>
      <c r="Q42" s="579"/>
      <c r="R42" s="275"/>
    </row>
    <row r="43" spans="1:20" ht="15" customHeight="1">
      <c r="A43" s="1128"/>
      <c r="B43" s="519" t="s">
        <v>244</v>
      </c>
      <c r="C43" s="413"/>
      <c r="D43" s="543">
        <v>0</v>
      </c>
      <c r="E43" s="544">
        <v>0</v>
      </c>
      <c r="F43" s="545"/>
      <c r="G43" s="543">
        <v>0</v>
      </c>
      <c r="H43" s="520">
        <f t="shared" si="4"/>
        <v>0</v>
      </c>
      <c r="I43" s="521"/>
      <c r="J43" s="543">
        <v>0</v>
      </c>
      <c r="K43" s="520">
        <f t="shared" si="5"/>
        <v>0</v>
      </c>
      <c r="L43" s="522"/>
      <c r="M43" s="543">
        <v>250</v>
      </c>
      <c r="N43" s="520">
        <f t="shared" si="6"/>
        <v>1</v>
      </c>
      <c r="O43" s="523"/>
      <c r="P43" s="563">
        <f t="shared" si="3"/>
        <v>250</v>
      </c>
      <c r="Q43" s="575"/>
      <c r="R43" s="275"/>
    </row>
    <row r="44" spans="1:20" ht="15" customHeight="1">
      <c r="A44" s="1128"/>
      <c r="B44" s="519" t="s">
        <v>245</v>
      </c>
      <c r="C44" s="413"/>
      <c r="D44" s="543">
        <v>0</v>
      </c>
      <c r="E44" s="544">
        <v>0</v>
      </c>
      <c r="F44" s="545"/>
      <c r="G44" s="543">
        <v>60000</v>
      </c>
      <c r="H44" s="520">
        <f t="shared" si="4"/>
        <v>0.33095596630868263</v>
      </c>
      <c r="I44" s="521"/>
      <c r="J44" s="543">
        <v>118793</v>
      </c>
      <c r="K44" s="520">
        <f t="shared" si="5"/>
        <v>0.65525420176178895</v>
      </c>
      <c r="L44" s="522"/>
      <c r="M44" s="543">
        <v>2500</v>
      </c>
      <c r="N44" s="520">
        <f t="shared" si="6"/>
        <v>1.3789831929528443E-2</v>
      </c>
      <c r="O44" s="523"/>
      <c r="P44" s="563">
        <f t="shared" si="3"/>
        <v>181293</v>
      </c>
      <c r="Q44" s="579"/>
      <c r="R44" s="447"/>
      <c r="T44" t="s">
        <v>212</v>
      </c>
    </row>
    <row r="45" spans="1:20" ht="15" customHeight="1">
      <c r="A45" s="1128"/>
      <c r="B45" s="519" t="s">
        <v>246</v>
      </c>
      <c r="C45" s="413"/>
      <c r="D45" s="543">
        <v>0</v>
      </c>
      <c r="E45" s="544">
        <v>0</v>
      </c>
      <c r="F45" s="545"/>
      <c r="G45" s="543">
        <v>28048</v>
      </c>
      <c r="H45" s="520">
        <f t="shared" si="4"/>
        <v>0.6091035441278666</v>
      </c>
      <c r="I45" s="521"/>
      <c r="J45" s="543">
        <v>0</v>
      </c>
      <c r="K45" s="520">
        <f t="shared" si="5"/>
        <v>0</v>
      </c>
      <c r="L45" s="522"/>
      <c r="M45" s="543">
        <v>18000</v>
      </c>
      <c r="N45" s="520">
        <f t="shared" si="6"/>
        <v>0.39089645587213345</v>
      </c>
      <c r="O45" s="523"/>
      <c r="P45" s="563">
        <f t="shared" si="3"/>
        <v>46048</v>
      </c>
      <c r="Q45" s="579"/>
      <c r="R45" s="447"/>
    </row>
    <row r="46" spans="1:20" ht="15.75" customHeight="1" thickBot="1">
      <c r="A46" s="1129"/>
      <c r="B46" s="1122" t="s">
        <v>15</v>
      </c>
      <c r="C46" s="1123"/>
      <c r="D46" s="546">
        <f>SUM(D18:D45)</f>
        <v>0</v>
      </c>
      <c r="E46" s="547">
        <f>SUM(E18:E45)</f>
        <v>0</v>
      </c>
      <c r="F46" s="548"/>
      <c r="G46" s="549">
        <f>SUM(G18:G45)</f>
        <v>4074243.2828407153</v>
      </c>
      <c r="H46" s="422">
        <f>IFERROR(G46/P46, 0)</f>
        <v>0.47001945063391332</v>
      </c>
      <c r="I46" s="420"/>
      <c r="J46" s="549">
        <f>SUM(J18:J45)</f>
        <v>3921911.3207732574</v>
      </c>
      <c r="K46" s="422">
        <f>IFERROR(J46/P46, 0)</f>
        <v>0.45244588416907244</v>
      </c>
      <c r="L46" s="421"/>
      <c r="M46" s="549">
        <f>SUM(M18:M45)</f>
        <v>672089.3963860271</v>
      </c>
      <c r="N46" s="422">
        <f>IFERROR(M46/P46, 0)</f>
        <v>7.7534665197014199E-2</v>
      </c>
      <c r="O46" s="485"/>
      <c r="P46" s="560">
        <f t="shared" si="3"/>
        <v>8668244</v>
      </c>
      <c r="Q46" s="576"/>
      <c r="R46" s="448"/>
    </row>
    <row r="47" spans="1:20" ht="27.75" customHeight="1">
      <c r="A47" s="1119" t="s">
        <v>203</v>
      </c>
      <c r="B47" s="412"/>
      <c r="C47" s="413"/>
      <c r="D47" s="550"/>
      <c r="E47" s="536"/>
      <c r="F47" s="530"/>
      <c r="G47" s="537"/>
      <c r="H47" s="273"/>
      <c r="I47" s="311"/>
      <c r="J47" s="537"/>
      <c r="K47" s="273"/>
      <c r="L47" s="319"/>
      <c r="M47" s="537"/>
      <c r="N47" s="273"/>
      <c r="O47" s="276"/>
      <c r="P47" s="559"/>
      <c r="Q47" s="575"/>
      <c r="R47" s="154"/>
    </row>
    <row r="48" spans="1:20" ht="15" customHeight="1">
      <c r="A48" s="1120"/>
      <c r="B48" s="410" t="s">
        <v>201</v>
      </c>
      <c r="C48" s="413"/>
      <c r="D48" s="538"/>
      <c r="E48" s="489"/>
      <c r="F48" s="539"/>
      <c r="G48" s="540"/>
      <c r="H48" s="282"/>
      <c r="I48" s="314"/>
      <c r="J48" s="540"/>
      <c r="K48" s="282"/>
      <c r="L48" s="321"/>
      <c r="M48" s="540"/>
      <c r="N48" s="282"/>
      <c r="O48" s="289"/>
      <c r="P48" s="561"/>
      <c r="Q48" s="577"/>
      <c r="R48" s="154"/>
    </row>
    <row r="49" spans="1:22" ht="15" customHeight="1">
      <c r="A49" s="1120"/>
      <c r="B49" s="336" t="s">
        <v>220</v>
      </c>
      <c r="C49" s="413"/>
      <c r="D49" s="529">
        <v>0</v>
      </c>
      <c r="E49" s="542">
        <v>0</v>
      </c>
      <c r="F49" s="530"/>
      <c r="G49" s="529">
        <f>1000000*'2. SCFF College Data '!K19</f>
        <v>352587.59152431454</v>
      </c>
      <c r="H49" s="133">
        <f>'2. SCFF College Data '!K19</f>
        <v>0.35258759152431451</v>
      </c>
      <c r="I49" s="313"/>
      <c r="J49" s="529">
        <f>1000000*'2. SCFF College Data '!O19</f>
        <v>484740.2277223267</v>
      </c>
      <c r="K49" s="133">
        <f t="shared" ref="K49:K50" si="7">IFERROR(J49/P49, 0)</f>
        <v>0.48474022772232672</v>
      </c>
      <c r="L49" s="317"/>
      <c r="M49" s="529">
        <f>1000000*'2. SCFF College Data '!S19</f>
        <v>162672.1807533587</v>
      </c>
      <c r="N49" s="133">
        <f t="shared" ref="N49:N50" si="8">IFERROR(M49/P49, 0)</f>
        <v>0.16267218075335871</v>
      </c>
      <c r="O49" s="263"/>
      <c r="P49" s="559">
        <f t="shared" ref="P49:P51" si="9">SUM(D49:E49, G49, J49, M49)</f>
        <v>1000000</v>
      </c>
      <c r="Q49" s="575"/>
      <c r="R49" s="275"/>
      <c r="S49" s="527"/>
      <c r="T49" t="s">
        <v>216</v>
      </c>
      <c r="V49" t="s">
        <v>205</v>
      </c>
    </row>
    <row r="50" spans="1:22" ht="15" customHeight="1">
      <c r="A50" s="1120"/>
      <c r="B50" s="336" t="s">
        <v>206</v>
      </c>
      <c r="C50" s="413"/>
      <c r="D50" s="529">
        <v>0</v>
      </c>
      <c r="E50" s="542">
        <v>0</v>
      </c>
      <c r="F50" s="539"/>
      <c r="G50" s="529">
        <v>0</v>
      </c>
      <c r="H50" s="133">
        <f t="shared" ref="H50" si="10">IFERROR(G50/P50, 0)</f>
        <v>0</v>
      </c>
      <c r="I50" s="313"/>
      <c r="J50" s="529">
        <v>0</v>
      </c>
      <c r="K50" s="133">
        <f t="shared" si="7"/>
        <v>0</v>
      </c>
      <c r="L50" s="317"/>
      <c r="M50" s="529">
        <v>29944</v>
      </c>
      <c r="N50" s="133">
        <f t="shared" si="8"/>
        <v>1</v>
      </c>
      <c r="O50" s="263"/>
      <c r="P50" s="559">
        <f t="shared" si="9"/>
        <v>29944</v>
      </c>
      <c r="Q50" s="575"/>
      <c r="R50" s="275"/>
      <c r="S50" s="527"/>
    </row>
    <row r="51" spans="1:22" s="53" customFormat="1" ht="15" customHeight="1" thickBot="1">
      <c r="A51" s="1121"/>
      <c r="B51" s="1122" t="s">
        <v>15</v>
      </c>
      <c r="C51" s="1123"/>
      <c r="D51" s="551">
        <f>SUM(D49:D50)</f>
        <v>0</v>
      </c>
      <c r="E51" s="552">
        <f>SUM(E49:E50)</f>
        <v>0</v>
      </c>
      <c r="F51" s="539"/>
      <c r="G51" s="549">
        <f>SUM(G49:G50)</f>
        <v>352587.59152431454</v>
      </c>
      <c r="H51" s="517">
        <f>IFERROR(G51/P51, 0)</f>
        <v>0.34233666250234435</v>
      </c>
      <c r="I51" s="313"/>
      <c r="J51" s="549">
        <f>SUM(J49:J50)</f>
        <v>484740.2277223267</v>
      </c>
      <c r="K51" s="517">
        <f>IFERROR(J51/P51, 0)</f>
        <v>0.47064716889687858</v>
      </c>
      <c r="L51" s="317"/>
      <c r="M51" s="549">
        <f>SUM(M49:M50)</f>
        <v>192616.1807533587</v>
      </c>
      <c r="N51" s="825">
        <f>IFERROR(M51/P51, 0)</f>
        <v>0.18701616860077702</v>
      </c>
      <c r="O51" s="263"/>
      <c r="P51" s="560">
        <f t="shared" si="9"/>
        <v>1029944</v>
      </c>
      <c r="Q51" s="576"/>
      <c r="R51" s="448"/>
      <c r="S51" s="527"/>
    </row>
    <row r="52" spans="1:22" ht="7.5" customHeight="1">
      <c r="B52" s="267"/>
      <c r="C52" s="267"/>
      <c r="D52" s="553"/>
      <c r="E52" s="427"/>
      <c r="F52" s="539"/>
      <c r="G52" s="554"/>
      <c r="H52" s="67"/>
      <c r="I52" s="313"/>
      <c r="J52" s="554"/>
      <c r="K52" s="67"/>
      <c r="L52" s="317"/>
      <c r="M52" s="554"/>
      <c r="N52" s="67"/>
      <c r="O52" s="263"/>
      <c r="P52" s="564"/>
      <c r="Q52" s="580"/>
      <c r="R52" s="405"/>
    </row>
    <row r="53" spans="1:22" ht="27.75" customHeight="1">
      <c r="A53" s="262"/>
      <c r="B53" s="478" t="s">
        <v>249</v>
      </c>
      <c r="C53" s="262"/>
      <c r="D53" s="555">
        <f>D15+D46+D51</f>
        <v>0</v>
      </c>
      <c r="E53" s="556">
        <f>E15+E46+E51</f>
        <v>0</v>
      </c>
      <c r="F53" s="557"/>
      <c r="G53" s="556">
        <f>G15+G46+G51</f>
        <v>7346960.9547818108</v>
      </c>
      <c r="H53" s="458">
        <f>IFERROR(G53/P53, 0)</f>
        <v>0.40861426829330588</v>
      </c>
      <c r="I53" s="479"/>
      <c r="J53" s="556">
        <f>J15+J46+J51</f>
        <v>8421269.6297516674</v>
      </c>
      <c r="K53" s="458">
        <f>IFERROR(J53/P53, 0)</f>
        <v>0.46836385126315244</v>
      </c>
      <c r="L53" s="477"/>
      <c r="M53" s="558">
        <f>M15+M46+M51</f>
        <v>2211956.4154665219</v>
      </c>
      <c r="N53" s="458">
        <f>IFERROR(M53/P53, 0)</f>
        <v>0.12302188044354165</v>
      </c>
      <c r="O53" s="480"/>
      <c r="P53" s="565">
        <f t="shared" ref="P53" si="11">SUM(D53:E53, G53, J53, M53)</f>
        <v>17980187</v>
      </c>
      <c r="Q53" s="581"/>
      <c r="R53" s="449"/>
      <c r="S53" s="493"/>
    </row>
    <row r="54" spans="1:22" ht="7.5" customHeight="1">
      <c r="E54"/>
      <c r="F54" s="1"/>
      <c r="I54" s="46"/>
      <c r="L54" s="469"/>
    </row>
    <row r="55" spans="1:22" ht="19.5" customHeight="1"/>
    <row r="56" spans="1:22">
      <c r="P56" s="449"/>
      <c r="Q56" s="449"/>
    </row>
    <row r="57" spans="1:22">
      <c r="M57" s="455"/>
      <c r="S57" s="456"/>
    </row>
    <row r="58" spans="1:22">
      <c r="P58" s="455"/>
      <c r="Q58" s="455"/>
    </row>
    <row r="61" spans="1:22">
      <c r="D61" s="455"/>
      <c r="P61" s="455"/>
      <c r="Q61" s="455"/>
    </row>
    <row r="63" spans="1:22">
      <c r="P63" s="455"/>
      <c r="Q63" s="455"/>
    </row>
  </sheetData>
  <mergeCells count="15">
    <mergeCell ref="P5:P7"/>
    <mergeCell ref="A9:A15"/>
    <mergeCell ref="B15:C15"/>
    <mergeCell ref="A16:A46"/>
    <mergeCell ref="B46:C46"/>
    <mergeCell ref="A5:B7"/>
    <mergeCell ref="A47:A51"/>
    <mergeCell ref="B51:C51"/>
    <mergeCell ref="G2:H2"/>
    <mergeCell ref="J2:K2"/>
    <mergeCell ref="M2:N2"/>
    <mergeCell ref="G3:H3"/>
    <mergeCell ref="J3:K3"/>
    <mergeCell ref="M3:N3"/>
    <mergeCell ref="A2:E3"/>
  </mergeCells>
  <printOptions horizontalCentered="1" verticalCentered="1"/>
  <pageMargins left="0.25" right="0.25" top="0.75" bottom="0.75" header="0.3" footer="0.3"/>
  <pageSetup scale="53" orientation="landscape" r:id="rId1"/>
  <headerFooter>
    <oddFooter>&amp;R&amp;12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F4E1-A16F-4B49-8B3D-D1B78B3217E7}">
  <sheetPr>
    <tabColor rgb="FFFFFF00"/>
    <pageSetUpPr fitToPage="1"/>
  </sheetPr>
  <dimension ref="A1:Z63"/>
  <sheetViews>
    <sheetView showGridLines="0" zoomScale="70" zoomScaleNormal="70" zoomScaleSheetLayoutView="70" zoomScalePageLayoutView="80" workbookViewId="0">
      <selection activeCell="A59" sqref="A59:XFD59"/>
    </sheetView>
  </sheetViews>
  <sheetFormatPr baseColWidth="10" defaultColWidth="9.1640625" defaultRowHeight="15"/>
  <cols>
    <col min="1" max="1" width="16.5" customWidth="1"/>
    <col min="2" max="2" width="7.5" customWidth="1"/>
    <col min="3" max="3" width="31.5" customWidth="1"/>
    <col min="4" max="4" width="2" customWidth="1"/>
    <col min="5" max="5" width="18.6640625" customWidth="1"/>
    <col min="6" max="6" width="12.6640625" style="77" customWidth="1"/>
    <col min="7" max="7" width="28.6640625" style="77" customWidth="1"/>
    <col min="8" max="8" width="0.83203125" customWidth="1"/>
    <col min="9" max="9" width="18.6640625" customWidth="1"/>
    <col min="10" max="10" width="22.6640625" style="77" customWidth="1"/>
    <col min="11" max="11" width="12.6640625" customWidth="1"/>
    <col min="12" max="12" width="0.83203125" customWidth="1"/>
    <col min="13" max="13" width="18.6640625" customWidth="1"/>
    <col min="14" max="14" width="22.6640625" style="77" customWidth="1"/>
    <col min="15" max="15" width="12.6640625" customWidth="1"/>
    <col min="16" max="16" width="0.83203125" customWidth="1"/>
    <col min="17" max="17" width="18.6640625" customWidth="1"/>
    <col min="18" max="18" width="22.6640625" customWidth="1"/>
    <col min="19" max="19" width="12.6640625" customWidth="1"/>
    <col min="20" max="20" width="2.83203125" customWidth="1"/>
    <col min="21" max="21" width="31.83203125" bestFit="1" customWidth="1"/>
    <col min="22" max="22" width="28.6640625" customWidth="1"/>
    <col min="25" max="25" width="30.83203125" customWidth="1"/>
    <col min="26" max="26" width="15.5" bestFit="1" customWidth="1"/>
  </cols>
  <sheetData>
    <row r="1" spans="1:26">
      <c r="A1" s="469"/>
      <c r="B1" s="469"/>
      <c r="C1" s="469"/>
      <c r="D1" s="469"/>
      <c r="E1" s="469"/>
      <c r="F1" s="483"/>
      <c r="G1" s="483"/>
      <c r="H1" s="302"/>
      <c r="I1" s="307"/>
      <c r="J1" s="308"/>
      <c r="K1" s="302"/>
      <c r="L1" s="309"/>
      <c r="M1" s="309"/>
      <c r="N1" s="316"/>
      <c r="O1" s="309"/>
      <c r="P1" s="317"/>
      <c r="Q1" s="317"/>
      <c r="R1" s="317"/>
      <c r="S1" s="317"/>
      <c r="T1" s="263"/>
      <c r="U1" s="263"/>
      <c r="V1" s="263"/>
    </row>
    <row r="2" spans="1:26" ht="54" customHeight="1">
      <c r="A2" s="1156" t="s">
        <v>195</v>
      </c>
      <c r="B2" s="1156"/>
      <c r="C2" s="1156"/>
      <c r="D2" s="1156"/>
      <c r="E2" s="1156"/>
      <c r="F2" s="1156"/>
      <c r="G2" s="1156"/>
      <c r="H2" s="302"/>
      <c r="I2" s="1112"/>
      <c r="J2" s="1112"/>
      <c r="K2" s="1112"/>
      <c r="L2" s="309"/>
      <c r="M2" s="1112"/>
      <c r="N2" s="1112"/>
      <c r="O2" s="1112"/>
      <c r="P2" s="317"/>
      <c r="Q2" s="1112"/>
      <c r="R2" s="1112"/>
      <c r="S2" s="1112"/>
      <c r="T2" s="263"/>
      <c r="U2" s="1152" t="s">
        <v>192</v>
      </c>
      <c r="V2" s="1153"/>
    </row>
    <row r="3" spans="1:26" ht="54.75" customHeight="1" thickBot="1">
      <c r="A3" s="1157"/>
      <c r="B3" s="1157"/>
      <c r="C3" s="1157"/>
      <c r="D3" s="1157"/>
      <c r="E3" s="1157"/>
      <c r="F3" s="1157"/>
      <c r="G3" s="1157"/>
      <c r="H3" s="302"/>
      <c r="I3" s="1113"/>
      <c r="J3" s="1113"/>
      <c r="K3" s="1113"/>
      <c r="L3" s="310"/>
      <c r="M3" s="1113"/>
      <c r="N3" s="1113"/>
      <c r="O3" s="1113"/>
      <c r="P3" s="317"/>
      <c r="Q3" s="1113"/>
      <c r="R3" s="1113"/>
      <c r="S3" s="1113"/>
      <c r="T3" s="263"/>
      <c r="U3" s="1154"/>
      <c r="V3" s="1155"/>
    </row>
    <row r="4" spans="1:26" ht="6.75" customHeight="1">
      <c r="A4" s="104"/>
      <c r="B4" s="105"/>
      <c r="C4" s="105"/>
      <c r="D4" s="105"/>
      <c r="E4" s="267"/>
      <c r="F4" s="269"/>
      <c r="G4" s="269"/>
      <c r="H4" s="302"/>
      <c r="I4" s="105"/>
      <c r="J4" s="236"/>
      <c r="K4" s="235"/>
      <c r="L4" s="310"/>
      <c r="M4" s="105"/>
      <c r="N4" s="236"/>
      <c r="O4" s="235"/>
      <c r="P4" s="317"/>
      <c r="Q4" s="105"/>
      <c r="R4" s="236"/>
      <c r="S4" s="235"/>
      <c r="T4" s="263"/>
      <c r="U4" s="268"/>
      <c r="V4" s="267"/>
    </row>
    <row r="5" spans="1:26" s="28" customFormat="1" ht="20.25" customHeight="1">
      <c r="A5" s="1147" t="s">
        <v>200</v>
      </c>
      <c r="B5" s="1147"/>
      <c r="C5" s="1147"/>
      <c r="D5" s="270"/>
      <c r="E5" s="1149" t="s">
        <v>191</v>
      </c>
      <c r="F5" s="1149"/>
      <c r="G5" s="1149"/>
      <c r="H5" s="303"/>
      <c r="I5" s="109"/>
      <c r="J5" s="1150"/>
      <c r="K5" s="1151"/>
      <c r="L5" s="310"/>
      <c r="M5" s="111"/>
      <c r="N5" s="1150"/>
      <c r="O5" s="1151"/>
      <c r="P5" s="318"/>
      <c r="Q5" s="111"/>
      <c r="R5" s="1150"/>
      <c r="S5" s="1151"/>
      <c r="T5" s="264"/>
      <c r="U5" s="296"/>
      <c r="V5" s="1148" t="s">
        <v>198</v>
      </c>
    </row>
    <row r="6" spans="1:26" s="28" customFormat="1" ht="6.75" customHeight="1">
      <c r="A6" s="1147"/>
      <c r="B6" s="1147"/>
      <c r="C6" s="1147"/>
      <c r="D6" s="270"/>
      <c r="E6" s="109"/>
      <c r="F6" s="109"/>
      <c r="G6" s="109"/>
      <c r="H6" s="303"/>
      <c r="I6" s="109"/>
      <c r="J6" s="256"/>
      <c r="K6" s="257"/>
      <c r="L6" s="310"/>
      <c r="M6" s="111"/>
      <c r="N6" s="257"/>
      <c r="O6" s="257"/>
      <c r="P6" s="318"/>
      <c r="Q6" s="111"/>
      <c r="R6" s="257"/>
      <c r="S6" s="257"/>
      <c r="T6" s="264"/>
      <c r="U6" s="296"/>
      <c r="V6" s="1148"/>
    </row>
    <row r="7" spans="1:26" s="28" customFormat="1" ht="51.75" customHeight="1">
      <c r="A7" s="1147"/>
      <c r="B7" s="1147"/>
      <c r="C7" s="1147"/>
      <c r="D7" s="113"/>
      <c r="E7" s="266" t="s">
        <v>54</v>
      </c>
      <c r="F7" s="253" t="s">
        <v>55</v>
      </c>
      <c r="G7" s="116" t="s">
        <v>299</v>
      </c>
      <c r="H7" s="303"/>
      <c r="I7" s="117" t="s">
        <v>54</v>
      </c>
      <c r="J7" s="116" t="s">
        <v>295</v>
      </c>
      <c r="K7" s="261" t="s">
        <v>199</v>
      </c>
      <c r="L7" s="310"/>
      <c r="M7" s="117" t="s">
        <v>54</v>
      </c>
      <c r="N7" s="116" t="s">
        <v>295</v>
      </c>
      <c r="O7" s="261" t="s">
        <v>199</v>
      </c>
      <c r="P7" s="318"/>
      <c r="Q7" s="117" t="s">
        <v>54</v>
      </c>
      <c r="R7" s="116" t="s">
        <v>295</v>
      </c>
      <c r="S7" s="261" t="s">
        <v>199</v>
      </c>
      <c r="T7" s="264"/>
      <c r="U7" s="117" t="s">
        <v>225</v>
      </c>
      <c r="V7" s="1148"/>
    </row>
    <row r="8" spans="1:26" s="28" customFormat="1" ht="8.25" customHeight="1" thickBot="1">
      <c r="A8" s="471"/>
      <c r="B8" s="237"/>
      <c r="C8" s="238"/>
      <c r="D8" s="239"/>
      <c r="E8" s="240"/>
      <c r="F8" s="241"/>
      <c r="G8" s="241"/>
      <c r="H8" s="462"/>
      <c r="I8" s="240"/>
      <c r="J8" s="241"/>
      <c r="K8" s="242"/>
      <c r="L8" s="464"/>
      <c r="M8" s="240"/>
      <c r="N8" s="241"/>
      <c r="O8" s="242"/>
      <c r="P8" s="465"/>
      <c r="Q8" s="240"/>
      <c r="R8" s="241"/>
      <c r="S8" s="242"/>
      <c r="T8" s="466"/>
      <c r="U8" s="240"/>
      <c r="V8" s="237"/>
    </row>
    <row r="9" spans="1:26" ht="15.75" customHeight="1">
      <c r="A9" s="126"/>
      <c r="C9" s="131"/>
      <c r="D9" s="131"/>
      <c r="E9" s="470"/>
      <c r="F9" s="130"/>
      <c r="G9" s="130"/>
      <c r="H9" s="302"/>
      <c r="I9" s="133"/>
      <c r="J9" s="130"/>
      <c r="K9" s="235"/>
      <c r="L9" s="309"/>
      <c r="M9" s="133"/>
      <c r="N9" s="130"/>
      <c r="O9" s="235"/>
      <c r="P9" s="317"/>
      <c r="Q9" s="133"/>
      <c r="R9" s="130"/>
      <c r="S9" s="235"/>
      <c r="T9" s="263"/>
      <c r="U9" s="132"/>
      <c r="V9" s="476"/>
    </row>
    <row r="10" spans="1:26" ht="16">
      <c r="A10" s="1131" t="s">
        <v>5</v>
      </c>
      <c r="B10" s="134"/>
      <c r="C10" s="135" t="s">
        <v>57</v>
      </c>
      <c r="D10" s="136"/>
      <c r="E10" s="260"/>
      <c r="F10" s="293"/>
      <c r="G10" s="137">
        <f>'SCFF Calculator (District Data)'!F7</f>
        <v>10787951.504660649</v>
      </c>
      <c r="H10" s="302"/>
      <c r="I10" s="243"/>
      <c r="J10" s="293">
        <f>9141447/2</f>
        <v>4570723.5</v>
      </c>
      <c r="L10" s="309"/>
      <c r="M10" s="243"/>
      <c r="N10" s="293">
        <f>9141447/2</f>
        <v>4570723.5</v>
      </c>
      <c r="P10" s="317"/>
      <c r="Q10" s="243"/>
      <c r="R10" s="293">
        <v>1305921</v>
      </c>
      <c r="T10" s="263"/>
      <c r="U10" s="138"/>
      <c r="V10" s="488">
        <f>R10+N10+J10</f>
        <v>10447368</v>
      </c>
    </row>
    <row r="11" spans="1:26" ht="27.75" customHeight="1">
      <c r="A11" s="1131"/>
      <c r="C11" s="144"/>
      <c r="D11" s="291"/>
      <c r="E11" s="255" t="s">
        <v>58</v>
      </c>
      <c r="F11" s="292"/>
      <c r="G11" s="292"/>
      <c r="H11" s="302"/>
      <c r="I11" s="145" t="s">
        <v>58</v>
      </c>
      <c r="J11" s="292"/>
      <c r="K11" s="150"/>
      <c r="L11" s="309"/>
      <c r="M11" s="255" t="s">
        <v>58</v>
      </c>
      <c r="N11" s="130"/>
      <c r="O11" s="150"/>
      <c r="P11" s="317"/>
      <c r="Q11" s="145" t="s">
        <v>58</v>
      </c>
      <c r="R11" s="292"/>
      <c r="S11" s="150"/>
      <c r="T11" s="263"/>
      <c r="U11" s="145" t="s">
        <v>298</v>
      </c>
      <c r="V11" s="793"/>
      <c r="Z11" s="504"/>
    </row>
    <row r="12" spans="1:26" ht="16">
      <c r="A12" s="1131"/>
      <c r="C12" s="144" t="s">
        <v>196</v>
      </c>
      <c r="D12" s="144"/>
      <c r="E12" s="151">
        <f>'SCFF Calculator (District Data)'!D8</f>
        <v>27529.276699999999</v>
      </c>
      <c r="F12" s="141">
        <f>'SCFF Calculator (District Data)'!E8</f>
        <v>3848.5</v>
      </c>
      <c r="G12" s="130">
        <f>E12*F12</f>
        <v>105946421.37994999</v>
      </c>
      <c r="H12" s="304"/>
      <c r="J12"/>
      <c r="L12" s="311"/>
      <c r="N12"/>
      <c r="P12" s="319"/>
      <c r="T12" s="274"/>
      <c r="V12" s="794"/>
    </row>
    <row r="13" spans="1:26" ht="16">
      <c r="A13" s="1131"/>
      <c r="C13" s="144" t="s">
        <v>197</v>
      </c>
      <c r="D13" s="144"/>
      <c r="E13" s="325">
        <v>0</v>
      </c>
      <c r="F13" s="326">
        <v>0</v>
      </c>
      <c r="G13" s="327">
        <v>0</v>
      </c>
      <c r="H13" s="304"/>
      <c r="I13" s="328">
        <f>11785.69-221.39</f>
        <v>11564.300000000001</v>
      </c>
      <c r="J13" s="329">
        <f>$F12*$I13</f>
        <v>44505208.550000004</v>
      </c>
      <c r="K13" s="330">
        <f t="shared" ref="K13:K19" si="0">IFERROR(J13/$V13,0)</f>
        <v>0.41278294655270581</v>
      </c>
      <c r="L13" s="311"/>
      <c r="M13" s="328">
        <f>16736.37-285.22</f>
        <v>16451.149999999998</v>
      </c>
      <c r="N13" s="329">
        <f>$F12*$M13</f>
        <v>63312250.774999991</v>
      </c>
      <c r="O13" s="330">
        <f t="shared" ref="O13:O19" si="1">IFERROR(N13/$V13,0)</f>
        <v>0.58721705344729425</v>
      </c>
      <c r="P13" s="319"/>
      <c r="Q13" s="328"/>
      <c r="R13" s="329">
        <f>$F12*$Q13</f>
        <v>0</v>
      </c>
      <c r="S13" s="330">
        <f t="shared" ref="S13:S18" si="2">IFERROR(R13/$V13,0)</f>
        <v>0</v>
      </c>
      <c r="T13" s="274"/>
      <c r="U13" s="331">
        <f>I13+M13+Q13</f>
        <v>28015.449999999997</v>
      </c>
      <c r="V13" s="795">
        <f t="shared" ref="V13:V18" si="3">R13+N13+J13</f>
        <v>107817459.32499999</v>
      </c>
    </row>
    <row r="14" spans="1:26" ht="16">
      <c r="A14" s="1131"/>
      <c r="C14" s="144" t="s">
        <v>60</v>
      </c>
      <c r="D14" s="144"/>
      <c r="E14" s="151">
        <f>'SCFF Calculator (District Data)'!D9</f>
        <v>506.61</v>
      </c>
      <c r="F14" s="141">
        <f>'SCFF Calculator (District Data)'!E9</f>
        <v>5634.56</v>
      </c>
      <c r="G14" s="130">
        <f>E14*F14</f>
        <v>2854524.4416000005</v>
      </c>
      <c r="H14" s="304"/>
      <c r="I14" s="826">
        <v>221.39</v>
      </c>
      <c r="J14" s="149">
        <f>$F14*$I14</f>
        <v>1247435.2383999999</v>
      </c>
      <c r="K14" s="273">
        <f t="shared" si="0"/>
        <v>0.43700282268411589</v>
      </c>
      <c r="L14" s="311"/>
      <c r="M14" s="827">
        <v>285.22000000000003</v>
      </c>
      <c r="N14" s="149">
        <f>$F14*$M14</f>
        <v>1607089.2032000003</v>
      </c>
      <c r="O14" s="273">
        <f t="shared" si="1"/>
        <v>0.56299717731588406</v>
      </c>
      <c r="P14" s="319"/>
      <c r="Q14" s="297"/>
      <c r="R14" s="149">
        <f>$F14*$Q14</f>
        <v>0</v>
      </c>
      <c r="S14" s="273">
        <f t="shared" si="2"/>
        <v>0</v>
      </c>
      <c r="T14" s="274"/>
      <c r="U14" s="153">
        <f>I14+M14+Q14</f>
        <v>506.61</v>
      </c>
      <c r="V14" s="559">
        <f t="shared" si="3"/>
        <v>2854524.4416000005</v>
      </c>
    </row>
    <row r="15" spans="1:26" ht="16">
      <c r="A15" s="1131"/>
      <c r="C15" s="155" t="s">
        <v>61</v>
      </c>
      <c r="D15" s="155"/>
      <c r="E15" s="151">
        <f>'SCFF Calculator (District Data)'!D10</f>
        <v>0</v>
      </c>
      <c r="F15" s="141">
        <f>'SCFF Calculator (District Data)'!E10</f>
        <v>5634.56</v>
      </c>
      <c r="G15" s="130">
        <f>E15*F15</f>
        <v>0</v>
      </c>
      <c r="H15" s="304"/>
      <c r="I15" s="297"/>
      <c r="J15" s="149">
        <f>$F15*$I15</f>
        <v>0</v>
      </c>
      <c r="K15" s="273">
        <f t="shared" si="0"/>
        <v>0</v>
      </c>
      <c r="L15" s="311"/>
      <c r="M15" s="297"/>
      <c r="N15" s="149">
        <f>$F15*$M15</f>
        <v>0</v>
      </c>
      <c r="O15" s="273">
        <f t="shared" si="1"/>
        <v>0</v>
      </c>
      <c r="P15" s="319"/>
      <c r="Q15" s="297"/>
      <c r="R15" s="149">
        <f>$F15*$Q15</f>
        <v>0</v>
      </c>
      <c r="S15" s="273">
        <f t="shared" si="2"/>
        <v>0</v>
      </c>
      <c r="T15" s="274"/>
      <c r="U15" s="153">
        <f t="shared" ref="U15:U18" si="4">I15+M15+Q15</f>
        <v>0</v>
      </c>
      <c r="V15" s="559">
        <f t="shared" si="3"/>
        <v>0</v>
      </c>
    </row>
    <row r="16" spans="1:26" ht="16">
      <c r="A16" s="1131"/>
      <c r="C16" s="144" t="s">
        <v>62</v>
      </c>
      <c r="D16" s="144"/>
      <c r="E16" s="151">
        <f>'SCFF Calculator (District Data)'!D12</f>
        <v>3056.45</v>
      </c>
      <c r="F16" s="141">
        <f>'SCFF Calculator (District Data)'!E12</f>
        <v>3456.62</v>
      </c>
      <c r="G16" s="130">
        <f>E16*F16</f>
        <v>10564986.198999999</v>
      </c>
      <c r="H16" s="304"/>
      <c r="I16" s="297">
        <v>164.31</v>
      </c>
      <c r="J16" s="149">
        <f>$F16*$I16</f>
        <v>567957.23219999997</v>
      </c>
      <c r="K16" s="273">
        <f t="shared" si="0"/>
        <v>5.3758445255116222E-2</v>
      </c>
      <c r="L16" s="311"/>
      <c r="M16" s="297">
        <v>137.63</v>
      </c>
      <c r="N16" s="149">
        <f>$F16*$M16</f>
        <v>475734.61059999996</v>
      </c>
      <c r="O16" s="273">
        <f t="shared" si="1"/>
        <v>4.502936413159056E-2</v>
      </c>
      <c r="P16" s="319"/>
      <c r="Q16" s="297">
        <v>2754.51</v>
      </c>
      <c r="R16" s="149">
        <f>$F16*$Q16</f>
        <v>9521294.3562000003</v>
      </c>
      <c r="S16" s="273">
        <f t="shared" si="2"/>
        <v>0.90121219061329316</v>
      </c>
      <c r="T16" s="274"/>
      <c r="U16" s="153">
        <f t="shared" si="4"/>
        <v>3056.4500000000003</v>
      </c>
      <c r="V16" s="559">
        <f t="shared" si="3"/>
        <v>10564986.199000001</v>
      </c>
    </row>
    <row r="17" spans="1:22" ht="16">
      <c r="A17" s="1131"/>
      <c r="C17" s="144" t="s">
        <v>63</v>
      </c>
      <c r="D17" s="144"/>
      <c r="E17" s="151">
        <f>'SCFF Calculator (District Data)'!D13</f>
        <v>2245.4899999999998</v>
      </c>
      <c r="F17" s="141">
        <f>'SCFF Calculator (District Data)'!E13</f>
        <v>5634.56</v>
      </c>
      <c r="G17" s="130">
        <f>E17*F17</f>
        <v>12652348.134399999</v>
      </c>
      <c r="H17" s="304"/>
      <c r="I17" s="297"/>
      <c r="J17" s="149">
        <f>$F17*$I17</f>
        <v>0</v>
      </c>
      <c r="K17" s="273">
        <f t="shared" si="0"/>
        <v>0</v>
      </c>
      <c r="L17" s="311"/>
      <c r="M17" s="297"/>
      <c r="N17" s="149">
        <f>$F17*$M17</f>
        <v>0</v>
      </c>
      <c r="O17" s="273">
        <f t="shared" si="1"/>
        <v>0</v>
      </c>
      <c r="P17" s="319"/>
      <c r="Q17" s="297">
        <v>2245.4899999999998</v>
      </c>
      <c r="R17" s="149">
        <f>$F17*$Q17</f>
        <v>12652348.134399999</v>
      </c>
      <c r="S17" s="273">
        <f t="shared" si="2"/>
        <v>1</v>
      </c>
      <c r="T17" s="274"/>
      <c r="U17" s="153">
        <f t="shared" si="4"/>
        <v>2245.4899999999998</v>
      </c>
      <c r="V17" s="559">
        <f t="shared" si="3"/>
        <v>12652348.134399999</v>
      </c>
    </row>
    <row r="18" spans="1:22" ht="16">
      <c r="A18" s="1131"/>
      <c r="C18" s="144" t="s">
        <v>64</v>
      </c>
      <c r="D18" s="144"/>
      <c r="E18" s="151">
        <f>'SCFF Calculator (District Data)'!D14</f>
        <v>0</v>
      </c>
      <c r="F18" s="141">
        <f>'SCFF Calculator (District Data)'!E14</f>
        <v>3347.49</v>
      </c>
      <c r="G18" s="130">
        <f>E18*F18</f>
        <v>0</v>
      </c>
      <c r="H18" s="304"/>
      <c r="I18" s="298"/>
      <c r="J18" s="149">
        <f>$F18*$I18</f>
        <v>0</v>
      </c>
      <c r="K18" s="273">
        <f t="shared" si="0"/>
        <v>0</v>
      </c>
      <c r="L18" s="311"/>
      <c r="M18" s="297"/>
      <c r="N18" s="149">
        <f>$F18*$M18</f>
        <v>0</v>
      </c>
      <c r="O18" s="273">
        <f t="shared" si="1"/>
        <v>0</v>
      </c>
      <c r="P18" s="319"/>
      <c r="Q18" s="297"/>
      <c r="R18" s="149">
        <f>$F18*$Q18</f>
        <v>0</v>
      </c>
      <c r="S18" s="273">
        <f t="shared" si="2"/>
        <v>0</v>
      </c>
      <c r="T18" s="274"/>
      <c r="U18" s="153">
        <f t="shared" si="4"/>
        <v>0</v>
      </c>
      <c r="V18" s="559">
        <f t="shared" si="3"/>
        <v>0</v>
      </c>
    </row>
    <row r="19" spans="1:22" s="53" customFormat="1" ht="16" thickBot="1">
      <c r="A19" s="1132"/>
      <c r="B19" s="159"/>
      <c r="C19" s="1125" t="s">
        <v>258</v>
      </c>
      <c r="D19" s="1125"/>
      <c r="E19" s="435">
        <f>SUM(E12:E18)</f>
        <v>33337.826699999998</v>
      </c>
      <c r="F19" s="286"/>
      <c r="G19" s="525">
        <f>SUM(G10:G18)</f>
        <v>142806231.65961063</v>
      </c>
      <c r="H19" s="305"/>
      <c r="I19" s="187">
        <f>SUM(I13:I18)</f>
        <v>11950</v>
      </c>
      <c r="J19" s="516">
        <f>SUM(J10:J18)</f>
        <v>50891324.520599999</v>
      </c>
      <c r="K19" s="287">
        <f t="shared" si="0"/>
        <v>0.35258759152431451</v>
      </c>
      <c r="L19" s="312"/>
      <c r="M19" s="244">
        <f>SUM(M13:M18)</f>
        <v>16874</v>
      </c>
      <c r="N19" s="192">
        <f>SUM(N10:N18)</f>
        <v>69965798.088799983</v>
      </c>
      <c r="O19" s="287">
        <f t="shared" si="1"/>
        <v>0.48474022772232672</v>
      </c>
      <c r="P19" s="320"/>
      <c r="Q19" s="244">
        <f>SUM(Q13:Q18)</f>
        <v>5000</v>
      </c>
      <c r="R19" s="167">
        <f>SUM(R10:R18)</f>
        <v>23479563.490599997</v>
      </c>
      <c r="S19" s="287">
        <f>IFERROR(R19/$V19,0)</f>
        <v>0.16267218075335871</v>
      </c>
      <c r="T19" s="288"/>
      <c r="U19" s="322">
        <f>SUM(U13:U18)</f>
        <v>33824</v>
      </c>
      <c r="V19" s="796">
        <f>SUM(V10:V18)</f>
        <v>144336686.09999999</v>
      </c>
    </row>
    <row r="20" spans="1:22" ht="27.75" customHeight="1">
      <c r="A20" s="1130" t="s">
        <v>6</v>
      </c>
      <c r="B20" s="170"/>
      <c r="C20" s="171"/>
      <c r="D20" s="172"/>
      <c r="E20" s="436" t="s">
        <v>296</v>
      </c>
      <c r="F20" s="175"/>
      <c r="G20" s="176"/>
      <c r="H20" s="302"/>
      <c r="I20" s="177" t="s">
        <v>296</v>
      </c>
      <c r="J20" s="175"/>
      <c r="K20" s="46"/>
      <c r="L20" s="313"/>
      <c r="M20" s="177" t="s">
        <v>296</v>
      </c>
      <c r="N20" s="175"/>
      <c r="O20" s="46"/>
      <c r="P20" s="317"/>
      <c r="Q20" s="177" t="s">
        <v>296</v>
      </c>
      <c r="R20" s="175"/>
      <c r="S20" s="178"/>
      <c r="T20" s="263"/>
      <c r="U20" s="177" t="s">
        <v>296</v>
      </c>
      <c r="V20" s="794"/>
    </row>
    <row r="21" spans="1:22" ht="15" customHeight="1">
      <c r="A21" s="1131"/>
      <c r="C21" s="155" t="s">
        <v>27</v>
      </c>
      <c r="D21" s="155"/>
      <c r="E21" s="437">
        <f>'SCFF Calculator (District Data)'!D18</f>
        <v>11728</v>
      </c>
      <c r="F21" s="141">
        <f>'SCFF Calculator (District Data)'!E18</f>
        <v>948.96</v>
      </c>
      <c r="G21" s="130">
        <f>E21*F21</f>
        <v>11129402.880000001</v>
      </c>
      <c r="H21" s="304"/>
      <c r="I21" s="299">
        <v>5052</v>
      </c>
      <c r="J21" s="149">
        <f>$F21*$I21</f>
        <v>4794145.92</v>
      </c>
      <c r="K21" s="273">
        <f>IFERROR(J21/$V21,0)</f>
        <v>0.43076398362892226</v>
      </c>
      <c r="L21" s="311"/>
      <c r="M21" s="299">
        <v>6676</v>
      </c>
      <c r="N21" s="149">
        <f>$F21*$M21</f>
        <v>6335256.96</v>
      </c>
      <c r="O21" s="273">
        <f>IFERROR(N21/$V21,0)</f>
        <v>0.56923601637107779</v>
      </c>
      <c r="P21" s="319"/>
      <c r="Q21" s="299">
        <v>0</v>
      </c>
      <c r="R21" s="149">
        <f>$F21*$Q21</f>
        <v>0</v>
      </c>
      <c r="S21" s="273">
        <f>IFERROR(R21/$V21,0)</f>
        <v>0</v>
      </c>
      <c r="T21" s="274"/>
      <c r="U21" s="154">
        <f>I21+M21+Q21</f>
        <v>11728</v>
      </c>
      <c r="V21" s="559">
        <f>R21+N21+J21</f>
        <v>11129402.879999999</v>
      </c>
    </row>
    <row r="22" spans="1:22" ht="15" customHeight="1">
      <c r="A22" s="1131"/>
      <c r="C22" s="184" t="s">
        <v>65</v>
      </c>
      <c r="D22" s="184"/>
      <c r="E22" s="437">
        <f>'SCFF Calculator (District Data)'!D19</f>
        <v>1717</v>
      </c>
      <c r="F22" s="141">
        <f>'SCFF Calculator (District Data)'!E19</f>
        <v>948.96</v>
      </c>
      <c r="G22" s="130">
        <f>E22*F22</f>
        <v>1629364.32</v>
      </c>
      <c r="H22" s="304"/>
      <c r="I22" s="299">
        <v>596</v>
      </c>
      <c r="J22" s="149">
        <f>$F22*$I22</f>
        <v>565580.16</v>
      </c>
      <c r="K22" s="273">
        <f>IFERROR(J22/$V22,0)</f>
        <v>0.34711706464764119</v>
      </c>
      <c r="L22" s="311"/>
      <c r="M22" s="299">
        <v>1121</v>
      </c>
      <c r="N22" s="149">
        <f>$F22*$M22</f>
        <v>1063784.1600000001</v>
      </c>
      <c r="O22" s="273">
        <f>IFERROR(N22/$V22,0)</f>
        <v>0.65288293535235875</v>
      </c>
      <c r="P22" s="319"/>
      <c r="Q22" s="299">
        <v>0</v>
      </c>
      <c r="R22" s="149">
        <f>$F22*$Q22</f>
        <v>0</v>
      </c>
      <c r="S22" s="273">
        <f>IFERROR(R22/$V22,0)</f>
        <v>0</v>
      </c>
      <c r="T22" s="274"/>
      <c r="U22" s="154">
        <f>I22+M22+Q22</f>
        <v>1717</v>
      </c>
      <c r="V22" s="559">
        <f>R22+N22+J22</f>
        <v>1629364.3200000003</v>
      </c>
    </row>
    <row r="23" spans="1:22" ht="15" customHeight="1">
      <c r="A23" s="1131"/>
      <c r="C23" s="155" t="s">
        <v>29</v>
      </c>
      <c r="D23" s="155"/>
      <c r="E23" s="437">
        <f>'SCFF Calculator (District Data)'!D20</f>
        <v>25893</v>
      </c>
      <c r="F23" s="141">
        <f>'SCFF Calculator (District Data)'!E20</f>
        <v>948.96</v>
      </c>
      <c r="G23" s="130">
        <f>E23*F23</f>
        <v>24571421.280000001</v>
      </c>
      <c r="H23" s="304"/>
      <c r="I23" s="299">
        <v>10852</v>
      </c>
      <c r="J23" s="149">
        <f>$F23*$I23</f>
        <v>10298113.92</v>
      </c>
      <c r="K23" s="273">
        <f>IFERROR(J23/$V23,0)</f>
        <v>0.41910941181014172</v>
      </c>
      <c r="L23" s="311"/>
      <c r="M23" s="299">
        <v>15041</v>
      </c>
      <c r="N23" s="149">
        <f>$F23*$M23</f>
        <v>14273307.360000001</v>
      </c>
      <c r="O23" s="273">
        <f>IFERROR(N23/$V23,0)</f>
        <v>0.58089058818985828</v>
      </c>
      <c r="P23" s="319"/>
      <c r="Q23" s="299">
        <v>0</v>
      </c>
      <c r="R23" s="149">
        <f>$F23*$Q23</f>
        <v>0</v>
      </c>
      <c r="S23" s="273">
        <f>IFERROR(R23/$V23,0)</f>
        <v>0</v>
      </c>
      <c r="T23" s="274"/>
      <c r="U23" s="154">
        <f>I23+M23+Q23</f>
        <v>25893</v>
      </c>
      <c r="V23" s="559">
        <f>R23+N23+J23</f>
        <v>24571421.280000001</v>
      </c>
    </row>
    <row r="24" spans="1:22" s="53" customFormat="1" ht="15.75" customHeight="1" thickBot="1">
      <c r="A24" s="1132"/>
      <c r="B24" s="186"/>
      <c r="C24" s="1125" t="s">
        <v>15</v>
      </c>
      <c r="D24" s="1125"/>
      <c r="E24" s="438">
        <f>SUM(E21:E23)</f>
        <v>39338</v>
      </c>
      <c r="F24" s="286"/>
      <c r="G24" s="189">
        <f>SUM(G21:G23)</f>
        <v>37330188.480000004</v>
      </c>
      <c r="H24" s="305"/>
      <c r="I24" s="187">
        <f>SUM(I21:I23)</f>
        <v>16500</v>
      </c>
      <c r="J24" s="167">
        <f>SUM(J21:J23)</f>
        <v>15657840</v>
      </c>
      <c r="K24" s="287">
        <f>IFERROR(J24/$V24,0)</f>
        <v>0.41944176114698251</v>
      </c>
      <c r="L24" s="312"/>
      <c r="M24" s="187">
        <f>SUM(M21:M23)</f>
        <v>22838</v>
      </c>
      <c r="N24" s="192">
        <f>SUM(N21:N23)</f>
        <v>21672348.48</v>
      </c>
      <c r="O24" s="287">
        <f>IFERROR(N24/$V24,0)</f>
        <v>0.58055823885301738</v>
      </c>
      <c r="P24" s="320"/>
      <c r="Q24" s="187">
        <f>SUM(Q21:Q23)</f>
        <v>0</v>
      </c>
      <c r="R24" s="192">
        <f>SUM(R21:R23)</f>
        <v>0</v>
      </c>
      <c r="S24" s="287">
        <f>IFERROR(R24/$V24,0)</f>
        <v>0</v>
      </c>
      <c r="T24" s="288"/>
      <c r="U24" s="187">
        <f>SUM(U21:U23)</f>
        <v>39338</v>
      </c>
      <c r="V24" s="796">
        <f>SUM(V21:V23)</f>
        <v>37330188.480000004</v>
      </c>
    </row>
    <row r="25" spans="1:22" ht="27.75" customHeight="1">
      <c r="A25" s="1131" t="s">
        <v>7</v>
      </c>
      <c r="B25" s="193"/>
      <c r="C25" s="171"/>
      <c r="D25" s="172"/>
      <c r="E25" s="439" t="s">
        <v>297</v>
      </c>
      <c r="F25" s="175"/>
      <c r="G25" s="130"/>
      <c r="H25" s="302"/>
      <c r="I25" s="194" t="s">
        <v>297</v>
      </c>
      <c r="J25" s="175"/>
      <c r="K25" s="46"/>
      <c r="L25" s="313"/>
      <c r="M25" s="290" t="s">
        <v>297</v>
      </c>
      <c r="N25" s="175"/>
      <c r="O25" s="46"/>
      <c r="P25" s="317"/>
      <c r="Q25" s="194" t="s">
        <v>297</v>
      </c>
      <c r="R25" s="175"/>
      <c r="S25" s="178"/>
      <c r="T25" s="263"/>
      <c r="U25" s="290" t="s">
        <v>297</v>
      </c>
      <c r="V25" s="797"/>
    </row>
    <row r="26" spans="1:22" ht="16">
      <c r="A26" s="1131"/>
      <c r="B26" s="1128" t="s">
        <v>30</v>
      </c>
      <c r="C26" s="199" t="s">
        <v>31</v>
      </c>
      <c r="D26" s="199"/>
      <c r="E26" s="437">
        <f>'SCFF Calculator (District Data)'!D23</f>
        <v>2300</v>
      </c>
      <c r="F26" s="141">
        <f>'SCFF Calculator (District Data)'!E23</f>
        <v>1363.03</v>
      </c>
      <c r="G26" s="130">
        <f t="shared" ref="G26:G33" si="5">E26*F26</f>
        <v>3134969</v>
      </c>
      <c r="H26" s="304"/>
      <c r="I26" s="300">
        <v>757</v>
      </c>
      <c r="J26" s="149">
        <f t="shared" ref="J26:J33" si="6">$F26*$I26</f>
        <v>1031813.71</v>
      </c>
      <c r="K26" s="273">
        <f>IFERROR(J26/$V26,0)</f>
        <v>0.32913043478260867</v>
      </c>
      <c r="L26" s="311"/>
      <c r="M26" s="301">
        <v>1543</v>
      </c>
      <c r="N26" s="149">
        <f t="shared" ref="N26:N33" si="7">$F26*$M26</f>
        <v>2103155.29</v>
      </c>
      <c r="O26" s="273">
        <f>IFERROR(N26/$V26,0)</f>
        <v>0.67086956521739127</v>
      </c>
      <c r="P26" s="319"/>
      <c r="Q26" s="301"/>
      <c r="R26" s="149">
        <f t="shared" ref="R26:R33" si="8">$F26*$Q26</f>
        <v>0</v>
      </c>
      <c r="S26" s="273">
        <f>IFERROR(R26/$V26,0)</f>
        <v>0</v>
      </c>
      <c r="T26" s="276"/>
      <c r="U26" s="154">
        <f>I26+M26+Q26</f>
        <v>2300</v>
      </c>
      <c r="V26" s="559">
        <f>R26+N26+J26</f>
        <v>3134969</v>
      </c>
    </row>
    <row r="27" spans="1:22">
      <c r="A27" s="1131"/>
      <c r="B27" s="1128"/>
      <c r="C27" s="1139" t="s">
        <v>33</v>
      </c>
      <c r="D27" s="1143"/>
      <c r="E27" s="154">
        <f>'SCFF Calculator (District Data)'!D25</f>
        <v>1590</v>
      </c>
      <c r="F27" s="141">
        <f>'SCFF Calculator (District Data)'!E25</f>
        <v>1817.38</v>
      </c>
      <c r="G27" s="130">
        <f t="shared" si="5"/>
        <v>2889634.2</v>
      </c>
      <c r="H27" s="304"/>
      <c r="I27" s="300">
        <v>625</v>
      </c>
      <c r="J27" s="149">
        <f t="shared" si="6"/>
        <v>1135862.5</v>
      </c>
      <c r="K27" s="273">
        <f>IFERROR(J27/$V27,0)</f>
        <v>0.39308176100628928</v>
      </c>
      <c r="L27" s="311"/>
      <c r="M27" s="301">
        <v>965</v>
      </c>
      <c r="N27" s="149">
        <f t="shared" si="7"/>
        <v>1753771.7000000002</v>
      </c>
      <c r="O27" s="273">
        <f>IFERROR(N27/$V27,0)</f>
        <v>0.60691823899371067</v>
      </c>
      <c r="P27" s="319"/>
      <c r="Q27" s="301"/>
      <c r="R27" s="149">
        <f t="shared" si="8"/>
        <v>0</v>
      </c>
      <c r="S27" s="273">
        <f>IFERROR(R27/$V27,0)</f>
        <v>0</v>
      </c>
      <c r="T27" s="276"/>
      <c r="U27" s="154">
        <f>I27+M27+Q27</f>
        <v>1590</v>
      </c>
      <c r="V27" s="559">
        <f>R27+N27+J27</f>
        <v>2889634.2</v>
      </c>
    </row>
    <row r="28" spans="1:22" ht="16">
      <c r="A28" s="1131"/>
      <c r="B28" s="1128"/>
      <c r="C28" s="442" t="s">
        <v>32</v>
      </c>
      <c r="D28" s="443"/>
      <c r="E28" s="154">
        <f>'SCFF Calculator (District Data)'!D24</f>
        <v>4</v>
      </c>
      <c r="F28" s="141">
        <f>'SCFF Calculator (District Data)'!E24</f>
        <v>1363.03</v>
      </c>
      <c r="G28" s="130">
        <f t="shared" si="5"/>
        <v>5452.12</v>
      </c>
      <c r="H28" s="304"/>
      <c r="I28" s="300">
        <v>4</v>
      </c>
      <c r="J28" s="149">
        <f t="shared" si="6"/>
        <v>5452.12</v>
      </c>
      <c r="K28" s="273">
        <f>IFERROR(J28/$V28,0)</f>
        <v>1</v>
      </c>
      <c r="L28" s="311"/>
      <c r="M28" s="301">
        <v>0</v>
      </c>
      <c r="N28" s="149">
        <f t="shared" si="7"/>
        <v>0</v>
      </c>
      <c r="O28" s="273">
        <f>IFERROR(N28/$V28,0)</f>
        <v>0</v>
      </c>
      <c r="P28" s="319"/>
      <c r="Q28" s="301"/>
      <c r="R28" s="149">
        <f t="shared" si="8"/>
        <v>0</v>
      </c>
      <c r="S28" s="273">
        <f>IFERROR(R28/$V28,0)</f>
        <v>0</v>
      </c>
      <c r="T28" s="276"/>
      <c r="U28" s="154">
        <f>I28+M28+Q28</f>
        <v>4</v>
      </c>
      <c r="V28" s="559">
        <f>J28+N28+R28</f>
        <v>5452.12</v>
      </c>
    </row>
    <row r="29" spans="1:22" ht="16">
      <c r="A29" s="1131"/>
      <c r="B29" s="1128"/>
      <c r="C29" s="199" t="s">
        <v>34</v>
      </c>
      <c r="D29" s="200"/>
      <c r="E29" s="154">
        <f>'SCFF Calculator (District Data)'!D26</f>
        <v>900</v>
      </c>
      <c r="F29" s="141">
        <f>'SCFF Calculator (District Data)'!E26</f>
        <v>908.69</v>
      </c>
      <c r="G29" s="130">
        <f t="shared" si="5"/>
        <v>817821</v>
      </c>
      <c r="H29" s="304"/>
      <c r="I29" s="300">
        <v>667</v>
      </c>
      <c r="J29" s="149">
        <f t="shared" si="6"/>
        <v>606096.23</v>
      </c>
      <c r="K29" s="273">
        <f t="shared" ref="K29:K36" si="9">IFERROR(J29/$V29,0)</f>
        <v>0.74111111111111105</v>
      </c>
      <c r="L29" s="311"/>
      <c r="M29" s="301">
        <v>233</v>
      </c>
      <c r="N29" s="149">
        <f t="shared" si="7"/>
        <v>211724.77000000002</v>
      </c>
      <c r="O29" s="273">
        <f t="shared" ref="O29:O36" si="10">IFERROR(N29/$V29,0)</f>
        <v>0.25888888888888889</v>
      </c>
      <c r="P29" s="319"/>
      <c r="Q29" s="301"/>
      <c r="R29" s="149">
        <f t="shared" si="8"/>
        <v>0</v>
      </c>
      <c r="S29" s="273">
        <f t="shared" ref="S29:S37" si="11">IFERROR(R29/$V29,0)</f>
        <v>0</v>
      </c>
      <c r="T29" s="276"/>
      <c r="U29" s="154">
        <f t="shared" ref="U29:U36" si="12">I29+M29+Q29</f>
        <v>900</v>
      </c>
      <c r="V29" s="559">
        <f t="shared" ref="V29:V36" si="13">R29+N29+J29</f>
        <v>817821</v>
      </c>
    </row>
    <row r="30" spans="1:22" ht="16">
      <c r="A30" s="1131"/>
      <c r="B30" s="1128"/>
      <c r="C30" s="199" t="s">
        <v>35</v>
      </c>
      <c r="D30" s="200"/>
      <c r="E30" s="154">
        <f>'SCFF Calculator (District Data)'!D27</f>
        <v>4770</v>
      </c>
      <c r="F30" s="141">
        <f>'SCFF Calculator (District Data)'!E27</f>
        <v>454.34</v>
      </c>
      <c r="G30" s="130">
        <f t="shared" si="5"/>
        <v>2167201.7999999998</v>
      </c>
      <c r="H30" s="304"/>
      <c r="I30" s="300">
        <v>2134</v>
      </c>
      <c r="J30" s="149">
        <f t="shared" si="6"/>
        <v>969561.55999999994</v>
      </c>
      <c r="K30" s="273">
        <f t="shared" si="9"/>
        <v>0.44737945492662473</v>
      </c>
      <c r="L30" s="311"/>
      <c r="M30" s="301">
        <v>2636</v>
      </c>
      <c r="N30" s="149">
        <f t="shared" si="7"/>
        <v>1197640.24</v>
      </c>
      <c r="O30" s="273">
        <f t="shared" si="10"/>
        <v>0.55262054507337532</v>
      </c>
      <c r="P30" s="319"/>
      <c r="Q30" s="301"/>
      <c r="R30" s="149">
        <f t="shared" si="8"/>
        <v>0</v>
      </c>
      <c r="S30" s="273">
        <f t="shared" si="11"/>
        <v>0</v>
      </c>
      <c r="T30" s="276"/>
      <c r="U30" s="154">
        <f t="shared" si="12"/>
        <v>4770</v>
      </c>
      <c r="V30" s="559">
        <f t="shared" si="13"/>
        <v>2167201.7999999998</v>
      </c>
    </row>
    <row r="31" spans="1:22" ht="16">
      <c r="A31" s="1131"/>
      <c r="B31" s="1128"/>
      <c r="C31" s="199" t="s">
        <v>36</v>
      </c>
      <c r="D31" s="200"/>
      <c r="E31" s="154">
        <f>'SCFF Calculator (District Data)'!D28</f>
        <v>3201</v>
      </c>
      <c r="F31" s="141">
        <f>'SCFF Calculator (District Data)'!E28</f>
        <v>681.52</v>
      </c>
      <c r="G31" s="130">
        <f t="shared" si="5"/>
        <v>2181545.52</v>
      </c>
      <c r="H31" s="304"/>
      <c r="I31" s="300">
        <f>E31*0.362</f>
        <v>1158.7619999999999</v>
      </c>
      <c r="J31" s="149">
        <f t="shared" si="6"/>
        <v>789719.47823999997</v>
      </c>
      <c r="K31" s="273">
        <f>IFERROR(J31/$V31,0)</f>
        <v>0.36199999999999999</v>
      </c>
      <c r="L31" s="311"/>
      <c r="M31" s="301">
        <f>E31*0.63</f>
        <v>2016.63</v>
      </c>
      <c r="N31" s="149">
        <f t="shared" si="7"/>
        <v>1374373.6776000001</v>
      </c>
      <c r="O31" s="273">
        <f t="shared" si="10"/>
        <v>0.63</v>
      </c>
      <c r="P31" s="319"/>
      <c r="Q31" s="301">
        <f>E31*0.008</f>
        <v>25.608000000000001</v>
      </c>
      <c r="R31" s="149">
        <f t="shared" si="8"/>
        <v>17452.364160000001</v>
      </c>
      <c r="S31" s="273">
        <f t="shared" si="11"/>
        <v>8.0000000000000002E-3</v>
      </c>
      <c r="T31" s="276"/>
      <c r="U31" s="154">
        <f>I31+M31+Q31</f>
        <v>3201</v>
      </c>
      <c r="V31" s="559">
        <f t="shared" si="13"/>
        <v>2181545.52</v>
      </c>
    </row>
    <row r="32" spans="1:22">
      <c r="A32" s="1131"/>
      <c r="B32" s="1128"/>
      <c r="C32" s="1139" t="s">
        <v>37</v>
      </c>
      <c r="D32" s="1143"/>
      <c r="E32" s="154">
        <f>'SCFF Calculator (District Data)'!D29</f>
        <v>774</v>
      </c>
      <c r="F32" s="141">
        <f>'SCFF Calculator (District Data)'!E29</f>
        <v>908.69</v>
      </c>
      <c r="G32" s="130">
        <f t="shared" si="5"/>
        <v>703326.06</v>
      </c>
      <c r="H32" s="304"/>
      <c r="I32" s="300">
        <v>225</v>
      </c>
      <c r="J32" s="149">
        <f t="shared" si="6"/>
        <v>204455.25</v>
      </c>
      <c r="K32" s="273">
        <f t="shared" si="9"/>
        <v>0.29069767441860461</v>
      </c>
      <c r="L32" s="311"/>
      <c r="M32" s="301">
        <v>549</v>
      </c>
      <c r="N32" s="149">
        <f t="shared" si="7"/>
        <v>498870.81000000006</v>
      </c>
      <c r="O32" s="273">
        <f t="shared" si="10"/>
        <v>0.70930232558139539</v>
      </c>
      <c r="P32" s="319"/>
      <c r="Q32" s="301"/>
      <c r="R32" s="149">
        <f t="shared" si="8"/>
        <v>0</v>
      </c>
      <c r="S32" s="273">
        <f t="shared" si="11"/>
        <v>0</v>
      </c>
      <c r="T32" s="276"/>
      <c r="U32" s="154">
        <f t="shared" si="12"/>
        <v>774</v>
      </c>
      <c r="V32" s="559">
        <f t="shared" si="13"/>
        <v>703326.06</v>
      </c>
    </row>
    <row r="33" spans="1:22">
      <c r="A33" s="1131"/>
      <c r="B33" s="1128"/>
      <c r="C33" s="1139" t="s">
        <v>38</v>
      </c>
      <c r="D33" s="1143"/>
      <c r="E33" s="154">
        <f>'SCFF Calculator (District Data)'!D30</f>
        <v>3417</v>
      </c>
      <c r="F33" s="141">
        <f>'SCFF Calculator (District Data)'!E30</f>
        <v>454.34</v>
      </c>
      <c r="G33" s="130">
        <f t="shared" si="5"/>
        <v>1552479.78</v>
      </c>
      <c r="H33" s="304"/>
      <c r="I33" s="300">
        <v>1095</v>
      </c>
      <c r="J33" s="149">
        <f t="shared" si="6"/>
        <v>497502.3</v>
      </c>
      <c r="K33" s="273">
        <f t="shared" si="9"/>
        <v>0.32045654082528535</v>
      </c>
      <c r="L33" s="311"/>
      <c r="M33" s="301">
        <v>1716</v>
      </c>
      <c r="N33" s="149">
        <f t="shared" si="7"/>
        <v>779647.44</v>
      </c>
      <c r="O33" s="273">
        <f t="shared" si="10"/>
        <v>0.50219490781387177</v>
      </c>
      <c r="P33" s="319"/>
      <c r="Q33" s="301">
        <v>606</v>
      </c>
      <c r="R33" s="149">
        <f t="shared" si="8"/>
        <v>275330.03999999998</v>
      </c>
      <c r="S33" s="273">
        <f t="shared" si="11"/>
        <v>0.17734855136084282</v>
      </c>
      <c r="T33" s="276"/>
      <c r="U33" s="154">
        <f t="shared" si="12"/>
        <v>3417</v>
      </c>
      <c r="V33" s="559">
        <f t="shared" si="13"/>
        <v>1552479.78</v>
      </c>
    </row>
    <row r="34" spans="1:22" ht="16" thickBot="1">
      <c r="A34" s="1131"/>
      <c r="B34" s="1142"/>
      <c r="C34" s="1144" t="s">
        <v>15</v>
      </c>
      <c r="D34" s="1145"/>
      <c r="E34" s="277">
        <f>SUM(E26:E33)</f>
        <v>16956</v>
      </c>
      <c r="F34" s="278"/>
      <c r="G34" s="279">
        <f>SUM(G26:G33)</f>
        <v>13452429.48</v>
      </c>
      <c r="H34" s="306"/>
      <c r="I34" s="280">
        <f>SUM(I26:I33)</f>
        <v>6665.7619999999997</v>
      </c>
      <c r="J34" s="281">
        <f>SUM(J26:J33)</f>
        <v>5240463.14824</v>
      </c>
      <c r="K34" s="282">
        <f t="shared" si="9"/>
        <v>0.38955514734577146</v>
      </c>
      <c r="L34" s="314"/>
      <c r="M34" s="285">
        <f>SUM(M26:M33)</f>
        <v>9658.630000000001</v>
      </c>
      <c r="N34" s="281">
        <f>SUM(N26:N33)</f>
        <v>7919183.9276000001</v>
      </c>
      <c r="O34" s="282">
        <f t="shared" si="10"/>
        <v>0.58868057545840413</v>
      </c>
      <c r="P34" s="321"/>
      <c r="Q34" s="285">
        <f>SUM(Q26:Q33)</f>
        <v>631.60799999999995</v>
      </c>
      <c r="R34" s="281">
        <f>SUM(R26:R33)</f>
        <v>292782.40415999998</v>
      </c>
      <c r="S34" s="282">
        <f t="shared" si="11"/>
        <v>2.1764277195824407E-2</v>
      </c>
      <c r="T34" s="289"/>
      <c r="U34" s="284">
        <f>SUM(U26:U33)</f>
        <v>16956</v>
      </c>
      <c r="V34" s="561">
        <f>SUM(V26:V33)</f>
        <v>13452429.48</v>
      </c>
    </row>
    <row r="35" spans="1:22" ht="16">
      <c r="A35" s="1131"/>
      <c r="B35" s="1133" t="s">
        <v>66</v>
      </c>
      <c r="C35" s="144" t="s">
        <v>31</v>
      </c>
      <c r="D35" s="156"/>
      <c r="E35" s="154">
        <f>'SCFF Calculator (District Data)'!D32</f>
        <v>1243</v>
      </c>
      <c r="F35" s="141">
        <f>'SCFF Calculator (District Data)'!E32</f>
        <v>515.78</v>
      </c>
      <c r="G35" s="130">
        <f t="shared" ref="G35:G42" si="14">E35*F35</f>
        <v>641114.53999999992</v>
      </c>
      <c r="H35" s="304"/>
      <c r="I35" s="300">
        <v>430</v>
      </c>
      <c r="J35" s="149">
        <f t="shared" ref="J35:J42" si="15">$F35*$I35</f>
        <v>221785.4</v>
      </c>
      <c r="K35" s="273">
        <f t="shared" si="9"/>
        <v>0.34593724859211589</v>
      </c>
      <c r="L35" s="311"/>
      <c r="M35" s="301">
        <v>813</v>
      </c>
      <c r="N35" s="149">
        <f t="shared" ref="N35:N42" si="16">$F35*$M35</f>
        <v>419329.13999999996</v>
      </c>
      <c r="O35" s="273">
        <f t="shared" si="10"/>
        <v>0.65406275140788417</v>
      </c>
      <c r="P35" s="319"/>
      <c r="Q35" s="301"/>
      <c r="R35" s="149">
        <f t="shared" ref="R35:R42" si="17">$F35*$Q35</f>
        <v>0</v>
      </c>
      <c r="S35" s="273">
        <f t="shared" si="11"/>
        <v>0</v>
      </c>
      <c r="T35" s="276"/>
      <c r="U35" s="154">
        <f t="shared" si="12"/>
        <v>1243</v>
      </c>
      <c r="V35" s="559">
        <f t="shared" si="13"/>
        <v>641114.53999999992</v>
      </c>
    </row>
    <row r="36" spans="1:22">
      <c r="A36" s="1131"/>
      <c r="B36" s="1120"/>
      <c r="C36" s="1135" t="s">
        <v>33</v>
      </c>
      <c r="D36" s="1141"/>
      <c r="E36" s="154">
        <f>'SCFF Calculator (District Data)'!D34</f>
        <v>854</v>
      </c>
      <c r="F36" s="141">
        <f>'SCFF Calculator (District Data)'!E34</f>
        <v>687.71</v>
      </c>
      <c r="G36" s="130">
        <f t="shared" si="14"/>
        <v>587304.34000000008</v>
      </c>
      <c r="H36" s="304"/>
      <c r="I36" s="300">
        <v>340</v>
      </c>
      <c r="J36" s="149">
        <f t="shared" si="15"/>
        <v>233821.40000000002</v>
      </c>
      <c r="K36" s="273">
        <f t="shared" si="9"/>
        <v>0.39812646370023419</v>
      </c>
      <c r="L36" s="311"/>
      <c r="M36" s="301">
        <v>514</v>
      </c>
      <c r="N36" s="149">
        <f t="shared" si="16"/>
        <v>353482.94</v>
      </c>
      <c r="O36" s="273">
        <f t="shared" si="10"/>
        <v>0.6018735362997657</v>
      </c>
      <c r="P36" s="319"/>
      <c r="Q36" s="301"/>
      <c r="R36" s="149">
        <f t="shared" si="17"/>
        <v>0</v>
      </c>
      <c r="S36" s="273">
        <f t="shared" si="11"/>
        <v>0</v>
      </c>
      <c r="T36" s="276"/>
      <c r="U36" s="154">
        <f t="shared" si="12"/>
        <v>854</v>
      </c>
      <c r="V36" s="559">
        <f t="shared" si="13"/>
        <v>587304.34000000008</v>
      </c>
    </row>
    <row r="37" spans="1:22" ht="16">
      <c r="A37" s="1131"/>
      <c r="B37" s="1120"/>
      <c r="C37" s="155" t="s">
        <v>32</v>
      </c>
      <c r="D37" s="179"/>
      <c r="E37" s="154">
        <f>'SCFF Calculator (District Data)'!D33</f>
        <v>1</v>
      </c>
      <c r="F37" s="141">
        <f>'SCFF Calculator (District Data)'!E33</f>
        <v>515.78</v>
      </c>
      <c r="G37" s="130">
        <f t="shared" si="14"/>
        <v>515.78</v>
      </c>
      <c r="H37" s="304"/>
      <c r="I37" s="300">
        <v>1</v>
      </c>
      <c r="J37" s="149">
        <f t="shared" si="15"/>
        <v>515.78</v>
      </c>
      <c r="K37" s="273">
        <f t="shared" ref="K37" si="18">IFERROR(J37/$V37,0)</f>
        <v>1</v>
      </c>
      <c r="L37" s="311"/>
      <c r="M37" s="301">
        <v>0</v>
      </c>
      <c r="N37" s="149">
        <f t="shared" si="16"/>
        <v>0</v>
      </c>
      <c r="O37" s="273">
        <f t="shared" ref="O37" si="19">IFERROR(N37/$V37,0)</f>
        <v>0</v>
      </c>
      <c r="P37" s="319"/>
      <c r="Q37" s="301"/>
      <c r="R37" s="149">
        <f t="shared" si="17"/>
        <v>0</v>
      </c>
      <c r="S37" s="273">
        <f t="shared" si="11"/>
        <v>0</v>
      </c>
      <c r="T37" s="276"/>
      <c r="U37" s="154">
        <f t="shared" ref="U37" si="20">I37+M37+Q37</f>
        <v>1</v>
      </c>
      <c r="V37" s="559">
        <f t="shared" ref="V37" si="21">R37+N37+J37</f>
        <v>515.78</v>
      </c>
    </row>
    <row r="38" spans="1:22" ht="16">
      <c r="A38" s="1131"/>
      <c r="B38" s="1120"/>
      <c r="C38" s="144" t="s">
        <v>34</v>
      </c>
      <c r="D38" s="156"/>
      <c r="E38" s="154">
        <f>'SCFF Calculator (District Data)'!D35</f>
        <v>434</v>
      </c>
      <c r="F38" s="141">
        <f>'SCFF Calculator (District Data)'!E35</f>
        <v>343.86</v>
      </c>
      <c r="G38" s="130">
        <f t="shared" si="14"/>
        <v>149235.24000000002</v>
      </c>
      <c r="H38" s="304"/>
      <c r="I38" s="300">
        <v>334</v>
      </c>
      <c r="J38" s="149">
        <f t="shared" si="15"/>
        <v>114849.24</v>
      </c>
      <c r="K38" s="273">
        <f t="shared" ref="K38:K45" si="22">IFERROR(J38/$V38,0)</f>
        <v>0.76958525345622131</v>
      </c>
      <c r="L38" s="311"/>
      <c r="M38" s="301">
        <v>100</v>
      </c>
      <c r="N38" s="149">
        <f t="shared" si="16"/>
        <v>34386</v>
      </c>
      <c r="O38" s="273">
        <f t="shared" ref="O38:O45" si="23">IFERROR(N38/$V38,0)</f>
        <v>0.2304147465437788</v>
      </c>
      <c r="P38" s="319"/>
      <c r="Q38" s="301"/>
      <c r="R38" s="149">
        <f t="shared" si="17"/>
        <v>0</v>
      </c>
      <c r="S38" s="273">
        <f t="shared" ref="S38:S46" si="24">IFERROR(R38/$V38,0)</f>
        <v>0</v>
      </c>
      <c r="T38" s="276"/>
      <c r="U38" s="154">
        <f t="shared" ref="U38:U45" si="25">I38+M38+Q38</f>
        <v>434</v>
      </c>
      <c r="V38" s="559">
        <f t="shared" ref="V38:V45" si="26">R38+N38+J38</f>
        <v>149235.24</v>
      </c>
    </row>
    <row r="39" spans="1:22" ht="16">
      <c r="A39" s="1131"/>
      <c r="B39" s="1120"/>
      <c r="C39" s="144" t="s">
        <v>35</v>
      </c>
      <c r="D39" s="156"/>
      <c r="E39" s="154">
        <f>'SCFF Calculator (District Data)'!D36</f>
        <v>2072</v>
      </c>
      <c r="F39" s="141">
        <f>'SCFF Calculator (District Data)'!E36</f>
        <v>171.93</v>
      </c>
      <c r="G39" s="130">
        <f t="shared" si="14"/>
        <v>356238.96</v>
      </c>
      <c r="H39" s="304"/>
      <c r="I39" s="300">
        <v>1022</v>
      </c>
      <c r="J39" s="149">
        <f t="shared" si="15"/>
        <v>175712.46000000002</v>
      </c>
      <c r="K39" s="273">
        <f t="shared" si="22"/>
        <v>0.49324324324324326</v>
      </c>
      <c r="L39" s="311"/>
      <c r="M39" s="301">
        <v>1050</v>
      </c>
      <c r="N39" s="149">
        <f t="shared" si="16"/>
        <v>180526.5</v>
      </c>
      <c r="O39" s="273">
        <f t="shared" si="23"/>
        <v>0.50675675675675669</v>
      </c>
      <c r="P39" s="319"/>
      <c r="Q39" s="301"/>
      <c r="R39" s="149">
        <f t="shared" si="17"/>
        <v>0</v>
      </c>
      <c r="S39" s="273">
        <f t="shared" si="24"/>
        <v>0</v>
      </c>
      <c r="T39" s="276"/>
      <c r="U39" s="154">
        <f t="shared" si="25"/>
        <v>2072</v>
      </c>
      <c r="V39" s="559">
        <f t="shared" si="26"/>
        <v>356238.96</v>
      </c>
    </row>
    <row r="40" spans="1:22" ht="16">
      <c r="A40" s="1131"/>
      <c r="B40" s="1120"/>
      <c r="C40" s="144" t="s">
        <v>36</v>
      </c>
      <c r="D40" s="156"/>
      <c r="E40" s="154">
        <f>'SCFF Calculator (District Data)'!D37</f>
        <v>1346.1328607363366</v>
      </c>
      <c r="F40" s="141">
        <f>'SCFF Calculator (District Data)'!E37</f>
        <v>257.89</v>
      </c>
      <c r="G40" s="130">
        <f t="shared" si="14"/>
        <v>347154.20345529384</v>
      </c>
      <c r="H40" s="304"/>
      <c r="I40" s="300">
        <f>E40*0.377</f>
        <v>507.4920884975989</v>
      </c>
      <c r="J40" s="149">
        <f t="shared" si="15"/>
        <v>130877.13470264577</v>
      </c>
      <c r="K40" s="273">
        <f t="shared" si="22"/>
        <v>0.377</v>
      </c>
      <c r="L40" s="311"/>
      <c r="M40" s="301">
        <f>E40*0.623</f>
        <v>838.64077223873767</v>
      </c>
      <c r="N40" s="149">
        <f t="shared" si="16"/>
        <v>216277.06875264805</v>
      </c>
      <c r="O40" s="273">
        <f t="shared" si="23"/>
        <v>0.62300000000000011</v>
      </c>
      <c r="P40" s="319"/>
      <c r="Q40" s="301"/>
      <c r="R40" s="149">
        <f t="shared" si="17"/>
        <v>0</v>
      </c>
      <c r="S40" s="273">
        <f t="shared" si="24"/>
        <v>0</v>
      </c>
      <c r="T40" s="276"/>
      <c r="U40" s="154">
        <f t="shared" si="25"/>
        <v>1346.1328607363366</v>
      </c>
      <c r="V40" s="559">
        <f t="shared" si="26"/>
        <v>347154.20345529378</v>
      </c>
    </row>
    <row r="41" spans="1:22">
      <c r="A41" s="1131"/>
      <c r="B41" s="1120"/>
      <c r="C41" s="1135" t="s">
        <v>37</v>
      </c>
      <c r="D41" s="1141"/>
      <c r="E41" s="154">
        <f>'SCFF Calculator (District Data)'!D38</f>
        <v>268</v>
      </c>
      <c r="F41" s="141">
        <f>'SCFF Calculator (District Data)'!E38</f>
        <v>343.86</v>
      </c>
      <c r="G41" s="130">
        <f t="shared" si="14"/>
        <v>92154.48000000001</v>
      </c>
      <c r="H41" s="304"/>
      <c r="I41" s="300">
        <v>85</v>
      </c>
      <c r="J41" s="149">
        <f t="shared" si="15"/>
        <v>29228.100000000002</v>
      </c>
      <c r="K41" s="273">
        <f t="shared" si="22"/>
        <v>0.31716417910447758</v>
      </c>
      <c r="L41" s="311"/>
      <c r="M41" s="301">
        <v>183</v>
      </c>
      <c r="N41" s="149">
        <f t="shared" si="16"/>
        <v>62926.380000000005</v>
      </c>
      <c r="O41" s="273">
        <f t="shared" si="23"/>
        <v>0.68283582089552242</v>
      </c>
      <c r="P41" s="319"/>
      <c r="Q41" s="301"/>
      <c r="R41" s="149">
        <f t="shared" si="17"/>
        <v>0</v>
      </c>
      <c r="S41" s="273">
        <f t="shared" si="24"/>
        <v>0</v>
      </c>
      <c r="T41" s="276"/>
      <c r="U41" s="154">
        <f t="shared" si="25"/>
        <v>268</v>
      </c>
      <c r="V41" s="559">
        <f t="shared" si="26"/>
        <v>92154.48000000001</v>
      </c>
    </row>
    <row r="42" spans="1:22">
      <c r="A42" s="1131"/>
      <c r="B42" s="1120"/>
      <c r="C42" s="1135" t="s">
        <v>38</v>
      </c>
      <c r="D42" s="1136"/>
      <c r="E42" s="154">
        <f>'SCFF Calculator (District Data)'!D39</f>
        <v>705</v>
      </c>
      <c r="F42" s="141">
        <f>'SCFF Calculator (District Data)'!E39</f>
        <v>171.93</v>
      </c>
      <c r="G42" s="130">
        <f t="shared" si="14"/>
        <v>121210.65000000001</v>
      </c>
      <c r="H42" s="304"/>
      <c r="I42" s="300">
        <v>314</v>
      </c>
      <c r="J42" s="149">
        <f t="shared" si="15"/>
        <v>53986.020000000004</v>
      </c>
      <c r="K42" s="273">
        <f t="shared" si="22"/>
        <v>0.44539007092198579</v>
      </c>
      <c r="L42" s="311"/>
      <c r="M42" s="301">
        <v>387</v>
      </c>
      <c r="N42" s="149">
        <f t="shared" si="16"/>
        <v>66536.91</v>
      </c>
      <c r="O42" s="273">
        <f t="shared" si="23"/>
        <v>0.54893617021276597</v>
      </c>
      <c r="P42" s="319"/>
      <c r="Q42" s="301">
        <v>4</v>
      </c>
      <c r="R42" s="149">
        <f t="shared" si="17"/>
        <v>687.72</v>
      </c>
      <c r="S42" s="273">
        <f t="shared" si="24"/>
        <v>5.6737588652482265E-3</v>
      </c>
      <c r="T42" s="276"/>
      <c r="U42" s="154">
        <f t="shared" si="25"/>
        <v>705</v>
      </c>
      <c r="V42" s="559">
        <f t="shared" si="26"/>
        <v>121210.65000000001</v>
      </c>
    </row>
    <row r="43" spans="1:22" ht="16" thickBot="1">
      <c r="A43" s="1131"/>
      <c r="B43" s="1134"/>
      <c r="C43" s="1144" t="s">
        <v>15</v>
      </c>
      <c r="D43" s="1146"/>
      <c r="E43" s="277">
        <f>SUM(E35:E42)</f>
        <v>6923.1328607363366</v>
      </c>
      <c r="F43" s="278"/>
      <c r="G43" s="279">
        <f>SUM(G35:G42)</f>
        <v>2294928.1934552938</v>
      </c>
      <c r="H43" s="306"/>
      <c r="I43" s="280">
        <f>SUM(I35:I42)</f>
        <v>3033.4920884975991</v>
      </c>
      <c r="J43" s="281">
        <f>SUM(J35:J42)</f>
        <v>960775.53470264573</v>
      </c>
      <c r="K43" s="282">
        <f t="shared" si="22"/>
        <v>0.41865167609278492</v>
      </c>
      <c r="L43" s="314"/>
      <c r="M43" s="280">
        <f>SUM(M35:M42)</f>
        <v>3885.6407722387376</v>
      </c>
      <c r="N43" s="281">
        <f>SUM(N35:N42)</f>
        <v>1333464.9387526477</v>
      </c>
      <c r="O43" s="282">
        <f t="shared" si="23"/>
        <v>0.58104865440036013</v>
      </c>
      <c r="P43" s="321"/>
      <c r="Q43" s="285">
        <f>SUM(Q35:Q42)</f>
        <v>4</v>
      </c>
      <c r="R43" s="281">
        <f>SUM(R35:R42)</f>
        <v>687.72</v>
      </c>
      <c r="S43" s="282">
        <f t="shared" si="24"/>
        <v>2.996695068548327E-4</v>
      </c>
      <c r="T43" s="289"/>
      <c r="U43" s="284">
        <f>SUM(U35:U42)</f>
        <v>6923.1328607363366</v>
      </c>
      <c r="V43" s="561">
        <f>SUM(V35:V42)</f>
        <v>2294928.1934552938</v>
      </c>
    </row>
    <row r="44" spans="1:22" ht="16">
      <c r="A44" s="1131"/>
      <c r="B44" s="1133" t="s">
        <v>67</v>
      </c>
      <c r="C44" s="199" t="s">
        <v>31</v>
      </c>
      <c r="D44" s="220"/>
      <c r="E44" s="154">
        <f>'SCFF Calculator (District Data)'!D41</f>
        <v>1765</v>
      </c>
      <c r="F44" s="141">
        <f>'SCFF Calculator (District Data)'!E41</f>
        <v>343.86</v>
      </c>
      <c r="G44" s="130">
        <f t="shared" ref="G44:G51" si="27">E44*F44</f>
        <v>606912.9</v>
      </c>
      <c r="H44" s="304"/>
      <c r="I44" s="300">
        <v>613</v>
      </c>
      <c r="J44" s="149">
        <f t="shared" ref="J44:J51" si="28">$F44*$I44</f>
        <v>210786.18000000002</v>
      </c>
      <c r="K44" s="273">
        <f t="shared" si="22"/>
        <v>0.34730878186968839</v>
      </c>
      <c r="L44" s="311"/>
      <c r="M44" s="301">
        <v>1152</v>
      </c>
      <c r="N44" s="149">
        <f t="shared" ref="N44:N51" si="29">$F44*$M44</f>
        <v>396126.72000000003</v>
      </c>
      <c r="O44" s="273">
        <f t="shared" si="23"/>
        <v>0.65269121813031161</v>
      </c>
      <c r="P44" s="319"/>
      <c r="Q44" s="301"/>
      <c r="R44" s="149">
        <f t="shared" ref="R44:R51" si="30">$F44*$Q44</f>
        <v>0</v>
      </c>
      <c r="S44" s="273">
        <f t="shared" si="24"/>
        <v>0</v>
      </c>
      <c r="T44" s="276"/>
      <c r="U44" s="154">
        <f t="shared" si="25"/>
        <v>1765</v>
      </c>
      <c r="V44" s="559">
        <f t="shared" si="26"/>
        <v>606912.9</v>
      </c>
    </row>
    <row r="45" spans="1:22">
      <c r="A45" s="1131"/>
      <c r="B45" s="1120"/>
      <c r="C45" s="1139" t="s">
        <v>33</v>
      </c>
      <c r="D45" s="1140"/>
      <c r="E45" s="154">
        <f>'SCFF Calculator (District Data)'!D43</f>
        <v>1214</v>
      </c>
      <c r="F45" s="141">
        <f>'SCFF Calculator (District Data)'!E43</f>
        <v>458.47</v>
      </c>
      <c r="G45" s="130">
        <f t="shared" si="27"/>
        <v>556582.58000000007</v>
      </c>
      <c r="H45" s="304"/>
      <c r="I45" s="300">
        <v>476</v>
      </c>
      <c r="J45" s="149">
        <f t="shared" si="28"/>
        <v>218231.72</v>
      </c>
      <c r="K45" s="273">
        <f t="shared" si="22"/>
        <v>0.3920922570016474</v>
      </c>
      <c r="L45" s="311"/>
      <c r="M45" s="301">
        <v>738</v>
      </c>
      <c r="N45" s="149">
        <f t="shared" si="29"/>
        <v>338350.86000000004</v>
      </c>
      <c r="O45" s="273">
        <f t="shared" si="23"/>
        <v>0.6079077429983526</v>
      </c>
      <c r="P45" s="319"/>
      <c r="Q45" s="301"/>
      <c r="R45" s="149">
        <f t="shared" si="30"/>
        <v>0</v>
      </c>
      <c r="S45" s="273">
        <f t="shared" si="24"/>
        <v>0</v>
      </c>
      <c r="T45" s="276"/>
      <c r="U45" s="154">
        <f t="shared" si="25"/>
        <v>1214</v>
      </c>
      <c r="V45" s="559">
        <f t="shared" si="26"/>
        <v>556582.58000000007</v>
      </c>
    </row>
    <row r="46" spans="1:22" ht="16">
      <c r="A46" s="1131"/>
      <c r="B46" s="1120"/>
      <c r="C46" s="442" t="s">
        <v>32</v>
      </c>
      <c r="D46" s="444"/>
      <c r="E46" s="154">
        <f>'SCFF Calculator (District Data)'!D42</f>
        <v>3</v>
      </c>
      <c r="F46" s="141">
        <f>'SCFF Calculator (District Data)'!E42</f>
        <v>343.86</v>
      </c>
      <c r="G46" s="130">
        <f t="shared" si="27"/>
        <v>1031.58</v>
      </c>
      <c r="H46" s="304"/>
      <c r="I46" s="300">
        <v>3</v>
      </c>
      <c r="J46" s="149">
        <f t="shared" si="28"/>
        <v>1031.58</v>
      </c>
      <c r="K46" s="273">
        <f t="shared" ref="K46" si="31">IFERROR(J46/$V46,0)</f>
        <v>1</v>
      </c>
      <c r="L46" s="311"/>
      <c r="M46" s="301">
        <v>0</v>
      </c>
      <c r="N46" s="149">
        <f t="shared" si="29"/>
        <v>0</v>
      </c>
      <c r="O46" s="273">
        <f t="shared" ref="O46" si="32">IFERROR(N46/$V46,0)</f>
        <v>0</v>
      </c>
      <c r="P46" s="319"/>
      <c r="Q46" s="301"/>
      <c r="R46" s="149">
        <f t="shared" si="30"/>
        <v>0</v>
      </c>
      <c r="S46" s="273">
        <f t="shared" si="24"/>
        <v>0</v>
      </c>
      <c r="T46" s="276"/>
      <c r="U46" s="154">
        <f t="shared" ref="U46" si="33">I46+M46+Q46</f>
        <v>3</v>
      </c>
      <c r="V46" s="559">
        <f t="shared" ref="V46" si="34">R46+N46+J46</f>
        <v>1031.58</v>
      </c>
    </row>
    <row r="47" spans="1:22" ht="16">
      <c r="A47" s="1131"/>
      <c r="B47" s="1120"/>
      <c r="C47" s="199" t="s">
        <v>34</v>
      </c>
      <c r="D47" s="220"/>
      <c r="E47" s="154">
        <f>'SCFF Calculator (District Data)'!D44</f>
        <v>653</v>
      </c>
      <c r="F47" s="141">
        <f>'SCFF Calculator (District Data)'!E44</f>
        <v>229.24</v>
      </c>
      <c r="G47" s="130">
        <f t="shared" si="27"/>
        <v>149693.72</v>
      </c>
      <c r="H47" s="304"/>
      <c r="I47" s="300">
        <v>499</v>
      </c>
      <c r="J47" s="149">
        <f t="shared" si="28"/>
        <v>114390.76000000001</v>
      </c>
      <c r="K47" s="273">
        <f t="shared" ref="K47:K53" si="35">IFERROR(J47/$V47,0)</f>
        <v>0.76416539050535992</v>
      </c>
      <c r="L47" s="311"/>
      <c r="M47" s="300">
        <v>154</v>
      </c>
      <c r="N47" s="149">
        <f t="shared" si="29"/>
        <v>35302.959999999999</v>
      </c>
      <c r="O47" s="273">
        <f t="shared" ref="O47:O53" si="36">IFERROR(N47/$V47,0)</f>
        <v>0.23583460949464011</v>
      </c>
      <c r="P47" s="319"/>
      <c r="Q47" s="301"/>
      <c r="R47" s="149">
        <f t="shared" si="30"/>
        <v>0</v>
      </c>
      <c r="S47" s="273">
        <f t="shared" ref="S47:S53" si="37">IFERROR(R47/$V47,0)</f>
        <v>0</v>
      </c>
      <c r="T47" s="276"/>
      <c r="U47" s="154">
        <f>I47+M47+Q47</f>
        <v>653</v>
      </c>
      <c r="V47" s="559">
        <f t="shared" ref="V47:V51" si="38">R47+N47+J47</f>
        <v>149693.72</v>
      </c>
    </row>
    <row r="48" spans="1:22" ht="16">
      <c r="A48" s="1131"/>
      <c r="B48" s="1120"/>
      <c r="C48" s="199" t="s">
        <v>35</v>
      </c>
      <c r="D48" s="220"/>
      <c r="E48" s="154">
        <f>'SCFF Calculator (District Data)'!D45</f>
        <v>3327</v>
      </c>
      <c r="F48" s="141">
        <f>'SCFF Calculator (District Data)'!E45</f>
        <v>114.62</v>
      </c>
      <c r="G48" s="130">
        <f t="shared" si="27"/>
        <v>381340.74</v>
      </c>
      <c r="H48" s="304"/>
      <c r="I48" s="300">
        <v>1596</v>
      </c>
      <c r="J48" s="149">
        <f t="shared" si="28"/>
        <v>182933.52000000002</v>
      </c>
      <c r="K48" s="273">
        <f t="shared" si="35"/>
        <v>0.4797114517583409</v>
      </c>
      <c r="L48" s="311"/>
      <c r="M48" s="300">
        <v>1731</v>
      </c>
      <c r="N48" s="149">
        <f t="shared" si="29"/>
        <v>198407.22</v>
      </c>
      <c r="O48" s="273">
        <f t="shared" si="36"/>
        <v>0.52028854824165915</v>
      </c>
      <c r="P48" s="319"/>
      <c r="Q48" s="301"/>
      <c r="R48" s="149">
        <f t="shared" si="30"/>
        <v>0</v>
      </c>
      <c r="S48" s="273">
        <f t="shared" si="37"/>
        <v>0</v>
      </c>
      <c r="T48" s="276"/>
      <c r="U48" s="154">
        <f>I48+M48+Q48</f>
        <v>3327</v>
      </c>
      <c r="V48" s="559">
        <f t="shared" si="38"/>
        <v>381340.74</v>
      </c>
    </row>
    <row r="49" spans="1:26" ht="16">
      <c r="A49" s="1131"/>
      <c r="B49" s="1120"/>
      <c r="C49" s="199" t="s">
        <v>36</v>
      </c>
      <c r="D49" s="220"/>
      <c r="E49" s="154">
        <f>'SCFF Calculator (District Data)'!D46</f>
        <v>2129.3640521381203</v>
      </c>
      <c r="F49" s="141">
        <f>'SCFF Calculator (District Data)'!E46</f>
        <v>171.93</v>
      </c>
      <c r="G49" s="130">
        <f t="shared" si="27"/>
        <v>366101.56148410705</v>
      </c>
      <c r="H49" s="304"/>
      <c r="I49" s="300">
        <f>E49*0.376</f>
        <v>800.64088360393328</v>
      </c>
      <c r="J49" s="149">
        <f t="shared" si="28"/>
        <v>137654.18711802425</v>
      </c>
      <c r="K49" s="273">
        <f t="shared" si="35"/>
        <v>0.376</v>
      </c>
      <c r="L49" s="311"/>
      <c r="M49" s="300">
        <f>E49*0.624-1</f>
        <v>1327.7231685341872</v>
      </c>
      <c r="N49" s="149">
        <f t="shared" si="29"/>
        <v>228275.44436608281</v>
      </c>
      <c r="O49" s="273">
        <f t="shared" si="36"/>
        <v>0.62353037621772767</v>
      </c>
      <c r="P49" s="319"/>
      <c r="Q49" s="301">
        <v>1</v>
      </c>
      <c r="R49" s="149">
        <f t="shared" si="30"/>
        <v>171.93</v>
      </c>
      <c r="S49" s="273">
        <f t="shared" si="37"/>
        <v>4.6962378227240561E-4</v>
      </c>
      <c r="T49" s="276"/>
      <c r="U49" s="154">
        <f>I49+M49+Q49</f>
        <v>2129.3640521381203</v>
      </c>
      <c r="V49" s="559">
        <f t="shared" si="38"/>
        <v>366101.56148410705</v>
      </c>
    </row>
    <row r="50" spans="1:26">
      <c r="A50" s="1131"/>
      <c r="B50" s="1120"/>
      <c r="C50" s="1139" t="s">
        <v>37</v>
      </c>
      <c r="D50" s="1140"/>
      <c r="E50" s="154">
        <f>'SCFF Calculator (District Data)'!D47</f>
        <v>415</v>
      </c>
      <c r="F50" s="141">
        <f>'SCFF Calculator (District Data)'!E47</f>
        <v>229.24</v>
      </c>
      <c r="G50" s="130">
        <f t="shared" si="27"/>
        <v>95134.6</v>
      </c>
      <c r="H50" s="304"/>
      <c r="I50" s="300">
        <v>118</v>
      </c>
      <c r="J50" s="149">
        <f t="shared" si="28"/>
        <v>27050.32</v>
      </c>
      <c r="K50" s="273">
        <f t="shared" si="35"/>
        <v>0.28433734939759037</v>
      </c>
      <c r="L50" s="311"/>
      <c r="M50" s="301">
        <v>297</v>
      </c>
      <c r="N50" s="149">
        <f t="shared" si="29"/>
        <v>68084.28</v>
      </c>
      <c r="O50" s="273">
        <f t="shared" si="36"/>
        <v>0.71566265060240963</v>
      </c>
      <c r="P50" s="319"/>
      <c r="Q50" s="301"/>
      <c r="R50" s="149">
        <f t="shared" si="30"/>
        <v>0</v>
      </c>
      <c r="S50" s="273">
        <f t="shared" si="37"/>
        <v>0</v>
      </c>
      <c r="T50" s="276"/>
      <c r="U50" s="154">
        <f>I50+M50+Q50</f>
        <v>415</v>
      </c>
      <c r="V50" s="559">
        <f t="shared" si="38"/>
        <v>95134.6</v>
      </c>
    </row>
    <row r="51" spans="1:26">
      <c r="A51" s="1131"/>
      <c r="B51" s="1120"/>
      <c r="C51" s="1139" t="s">
        <v>38</v>
      </c>
      <c r="D51" s="1140"/>
      <c r="E51" s="154">
        <f>'SCFF Calculator (District Data)'!D48</f>
        <v>1490</v>
      </c>
      <c r="F51" s="141">
        <f>'SCFF Calculator (District Data)'!E48</f>
        <v>114.62</v>
      </c>
      <c r="G51" s="130">
        <f t="shared" si="27"/>
        <v>170783.80000000002</v>
      </c>
      <c r="H51" s="304"/>
      <c r="I51" s="300">
        <v>636</v>
      </c>
      <c r="J51" s="149">
        <f t="shared" si="28"/>
        <v>72898.320000000007</v>
      </c>
      <c r="K51" s="273">
        <f t="shared" si="35"/>
        <v>0.4268456375838926</v>
      </c>
      <c r="L51" s="311"/>
      <c r="M51" s="301">
        <v>842</v>
      </c>
      <c r="N51" s="149">
        <f t="shared" si="29"/>
        <v>96510.040000000008</v>
      </c>
      <c r="O51" s="273">
        <f t="shared" si="36"/>
        <v>0.56510067114093954</v>
      </c>
      <c r="P51" s="319"/>
      <c r="Q51" s="301">
        <v>12</v>
      </c>
      <c r="R51" s="149">
        <f t="shared" si="30"/>
        <v>1375.44</v>
      </c>
      <c r="S51" s="273">
        <f t="shared" si="37"/>
        <v>8.0536912751677844E-3</v>
      </c>
      <c r="T51" s="276"/>
      <c r="U51" s="154">
        <f>I51+M51+Q51</f>
        <v>1490</v>
      </c>
      <c r="V51" s="559">
        <f t="shared" si="38"/>
        <v>170783.80000000002</v>
      </c>
    </row>
    <row r="52" spans="1:26" ht="16" thickBot="1">
      <c r="A52" s="1131"/>
      <c r="B52" s="1134"/>
      <c r="C52" s="1137" t="s">
        <v>15</v>
      </c>
      <c r="D52" s="1138"/>
      <c r="E52" s="277">
        <f>SUM(E44:E51)</f>
        <v>10996.36405213812</v>
      </c>
      <c r="F52" s="278"/>
      <c r="G52" s="279">
        <f>SUM(G44:G51)</f>
        <v>2327581.4814841067</v>
      </c>
      <c r="H52" s="306"/>
      <c r="I52" s="280">
        <f>SUM(I44:I51)</f>
        <v>4741.6408836039336</v>
      </c>
      <c r="J52" s="281">
        <f>SUM(J44:J51)</f>
        <v>964976.58711802424</v>
      </c>
      <c r="K52" s="282">
        <f t="shared" si="35"/>
        <v>0.41458337540249646</v>
      </c>
      <c r="L52" s="314"/>
      <c r="M52" s="280">
        <f>SUM(M44:M51)</f>
        <v>6241.7231685341867</v>
      </c>
      <c r="N52" s="281">
        <f>SUM(N44:N51)</f>
        <v>1361057.5243660829</v>
      </c>
      <c r="O52" s="282">
        <f t="shared" si="36"/>
        <v>0.58475182724784724</v>
      </c>
      <c r="P52" s="321"/>
      <c r="Q52" s="280">
        <f>SUM(Q44:Q51)</f>
        <v>13</v>
      </c>
      <c r="R52" s="281">
        <f>SUM(R44:R51)</f>
        <v>1547.3700000000001</v>
      </c>
      <c r="S52" s="282">
        <f t="shared" si="37"/>
        <v>6.6479734965642096E-4</v>
      </c>
      <c r="T52" s="289"/>
      <c r="U52" s="283">
        <f>SUM(U44:U51)</f>
        <v>10996.36405213812</v>
      </c>
      <c r="V52" s="561">
        <f>SUM(V44:V51)</f>
        <v>2327581.4814841067</v>
      </c>
    </row>
    <row r="53" spans="1:26" s="53" customFormat="1" ht="16" thickBot="1">
      <c r="A53" s="1132"/>
      <c r="B53" s="428"/>
      <c r="C53" s="1122" t="s">
        <v>15</v>
      </c>
      <c r="D53" s="1122"/>
      <c r="E53" s="333">
        <f>E52+E43+E34</f>
        <v>34875.496912874456</v>
      </c>
      <c r="F53" s="334"/>
      <c r="G53" s="271">
        <f>G52+G43+G34</f>
        <v>18074939.154939402</v>
      </c>
      <c r="H53" s="429"/>
      <c r="I53" s="430">
        <f>I52+I43+I34</f>
        <v>14440.894972101532</v>
      </c>
      <c r="J53" s="192">
        <f>J52+J43+J34</f>
        <v>7166215.2700606696</v>
      </c>
      <c r="K53" s="191">
        <f t="shared" si="35"/>
        <v>0.39647244223792216</v>
      </c>
      <c r="L53" s="431"/>
      <c r="M53" s="432">
        <f>M52+M43+M34</f>
        <v>19785.993940772925</v>
      </c>
      <c r="N53" s="323">
        <f>N52+N43+N34</f>
        <v>10613706.39071873</v>
      </c>
      <c r="O53" s="191">
        <f t="shared" si="36"/>
        <v>0.58720564975281175</v>
      </c>
      <c r="P53" s="433"/>
      <c r="Q53" s="430">
        <f>Q52+Q43+Q34</f>
        <v>648.60799999999995</v>
      </c>
      <c r="R53" s="192">
        <f>R52+R43+R34</f>
        <v>295017.49416</v>
      </c>
      <c r="S53" s="191">
        <f t="shared" si="37"/>
        <v>1.6321908009265942E-2</v>
      </c>
      <c r="T53" s="434"/>
      <c r="U53" s="333">
        <f>U52+U43+U34</f>
        <v>34875.496912874456</v>
      </c>
      <c r="V53" s="798">
        <f>V52+V43+V34</f>
        <v>18074939.154939402</v>
      </c>
    </row>
    <row r="54" spans="1:26" s="53" customFormat="1" ht="7.5" customHeight="1">
      <c r="A54" s="324"/>
      <c r="B54" s="332"/>
      <c r="C54" s="171"/>
      <c r="D54" s="171"/>
      <c r="E54" s="1160"/>
      <c r="F54" s="1160"/>
      <c r="G54" s="1160"/>
      <c r="H54" s="304"/>
      <c r="I54" s="1160"/>
      <c r="J54" s="1160"/>
      <c r="K54" s="1160"/>
      <c r="L54" s="315"/>
      <c r="M54" s="1160"/>
      <c r="N54" s="1160"/>
      <c r="O54" s="1160"/>
      <c r="P54" s="319"/>
      <c r="Q54" s="1160"/>
      <c r="R54" s="1160"/>
      <c r="S54" s="1160"/>
      <c r="T54" s="265"/>
      <c r="U54" s="1158"/>
      <c r="V54" s="1159"/>
      <c r="W54"/>
    </row>
    <row r="55" spans="1:26" s="53" customFormat="1" ht="25" customHeight="1">
      <c r="A55" s="324"/>
      <c r="B55" s="332"/>
      <c r="C55"/>
      <c r="D55"/>
      <c r="E55"/>
      <c r="F55" s="440" t="s">
        <v>304</v>
      </c>
      <c r="G55" s="295">
        <f>G19+G24+G53</f>
        <v>198211359.29455006</v>
      </c>
      <c r="H55" s="486"/>
      <c r="I55" s="1"/>
      <c r="J55" s="295">
        <f>J19+J24+J53</f>
        <v>73715379.790660664</v>
      </c>
      <c r="K55" s="441">
        <f>IFERROR(J55/$V55,0)</f>
        <v>0.36905332144666603</v>
      </c>
      <c r="L55" s="506"/>
      <c r="M55" s="1"/>
      <c r="N55" s="295">
        <f>N19+N24+N53</f>
        <v>102251852.95951872</v>
      </c>
      <c r="O55" s="67">
        <f>IFERROR(N55/$V55,0)</f>
        <v>0.51192011851463703</v>
      </c>
      <c r="P55" s="507"/>
      <c r="Q55" s="405"/>
      <c r="R55" s="295">
        <f>R19+R24+R53</f>
        <v>23774580.984759998</v>
      </c>
      <c r="S55" s="67">
        <f>IFERROR(R55/$V55,0)</f>
        <v>0.11902656003869702</v>
      </c>
      <c r="T55" s="485"/>
      <c r="U55" s="461" t="s">
        <v>194</v>
      </c>
      <c r="V55" s="514">
        <f>J55+N55+R55</f>
        <v>199741813.73493937</v>
      </c>
      <c r="W55"/>
      <c r="Y55" s="490"/>
    </row>
    <row r="56" spans="1:26" s="53" customFormat="1" ht="9.75" customHeight="1">
      <c r="A56" s="324"/>
      <c r="B56" s="332"/>
      <c r="C56"/>
      <c r="D56"/>
      <c r="E56"/>
      <c r="F56" s="440"/>
      <c r="G56" s="295"/>
      <c r="H56" s="486"/>
      <c r="I56" s="1"/>
      <c r="J56" s="295"/>
      <c r="K56" s="441"/>
      <c r="L56" s="506"/>
      <c r="M56" s="1"/>
      <c r="N56" s="295"/>
      <c r="O56" s="67"/>
      <c r="P56" s="507"/>
      <c r="Q56" s="405"/>
      <c r="R56" s="295"/>
      <c r="S56" s="67"/>
      <c r="T56" s="485"/>
      <c r="U56" s="461"/>
      <c r="V56" s="514"/>
      <c r="W56"/>
    </row>
    <row r="57" spans="1:26" s="53" customFormat="1" ht="20" customHeight="1">
      <c r="A57" s="495"/>
      <c r="B57" s="332"/>
      <c r="C57"/>
      <c r="D57"/>
      <c r="E57"/>
      <c r="F57" s="440" t="s">
        <v>259</v>
      </c>
      <c r="G57" s="295">
        <f>G19-V19</f>
        <v>-1530454.440389365</v>
      </c>
      <c r="H57" s="486"/>
      <c r="I57" s="1"/>
      <c r="J57" s="295">
        <f>G57*K57</f>
        <v>-631745.4934685945</v>
      </c>
      <c r="K57" s="441">
        <f>K13</f>
        <v>0.41278294655270581</v>
      </c>
      <c r="L57" s="506"/>
      <c r="M57" s="1"/>
      <c r="N57" s="295">
        <f>G57*O57</f>
        <v>-898708.94692077057</v>
      </c>
      <c r="O57" s="67">
        <f>O13</f>
        <v>0.58721705344729425</v>
      </c>
      <c r="P57" s="507"/>
      <c r="Q57" s="405"/>
      <c r="R57" s="295"/>
      <c r="S57" s="67"/>
      <c r="T57" s="485"/>
      <c r="U57" s="461" t="s">
        <v>251</v>
      </c>
      <c r="V57" s="514">
        <f>J57+N57+R57</f>
        <v>-1530454.440389365</v>
      </c>
      <c r="W57"/>
    </row>
    <row r="58" spans="1:26" s="53" customFormat="1" ht="9.75" customHeight="1">
      <c r="A58" s="495"/>
      <c r="B58" s="332"/>
      <c r="C58"/>
      <c r="D58"/>
      <c r="E58"/>
      <c r="F58" s="440"/>
      <c r="G58" s="295"/>
      <c r="H58" s="486"/>
      <c r="I58" s="1"/>
      <c r="J58" s="295"/>
      <c r="K58" s="441"/>
      <c r="L58" s="506"/>
      <c r="M58" s="1"/>
      <c r="N58" s="295"/>
      <c r="O58" s="67"/>
      <c r="P58" s="507"/>
      <c r="Q58" s="405"/>
      <c r="R58" s="295"/>
      <c r="S58" s="67"/>
      <c r="T58" s="485"/>
      <c r="U58" s="461"/>
      <c r="V58" s="514"/>
      <c r="W58"/>
    </row>
    <row r="59" spans="1:26" s="53" customFormat="1" ht="20" customHeight="1">
      <c r="A59" s="500"/>
      <c r="B59" s="501"/>
      <c r="C59" s="502"/>
      <c r="D59" s="502"/>
      <c r="E59" s="502"/>
      <c r="F59" s="503" t="s">
        <v>250</v>
      </c>
      <c r="G59" s="295">
        <f>G55</f>
        <v>198211359.29455006</v>
      </c>
      <c r="H59" s="486"/>
      <c r="I59" s="1"/>
      <c r="J59" s="295">
        <f>J55+J57</f>
        <v>73083634.297192067</v>
      </c>
      <c r="K59" s="441">
        <f>IFERROR(J59/$V59,0)</f>
        <v>0.36871567077337314</v>
      </c>
      <c r="L59" s="506"/>
      <c r="M59" s="1"/>
      <c r="N59" s="295">
        <f>N55+N57</f>
        <v>101353144.01259795</v>
      </c>
      <c r="O59" s="67">
        <f>IFERROR(N59/$V59,0)</f>
        <v>0.51133872636422983</v>
      </c>
      <c r="P59" s="507"/>
      <c r="Q59" s="405"/>
      <c r="R59" s="295">
        <f>R55+R57</f>
        <v>23774580.984759998</v>
      </c>
      <c r="S59" s="67">
        <f>IFERROR(R59/$V59,0)</f>
        <v>0.11994560286239711</v>
      </c>
      <c r="T59" s="485"/>
      <c r="U59" s="461" t="s">
        <v>252</v>
      </c>
      <c r="V59" s="514">
        <f>J59+N59+R59</f>
        <v>198211359.29455</v>
      </c>
      <c r="W59"/>
      <c r="Y59" s="505"/>
      <c r="Z59" s="515"/>
    </row>
    <row r="60" spans="1:26" s="53" customFormat="1" ht="9.75" customHeight="1">
      <c r="A60" s="497"/>
      <c r="B60" s="498"/>
      <c r="C60" s="262"/>
      <c r="D60" s="262"/>
      <c r="E60" s="262"/>
      <c r="F60" s="496"/>
      <c r="G60" s="489"/>
      <c r="H60" s="508"/>
      <c r="I60" s="512"/>
      <c r="J60" s="489"/>
      <c r="K60" s="282"/>
      <c r="L60" s="509"/>
      <c r="M60" s="512"/>
      <c r="N60" s="489"/>
      <c r="O60" s="458"/>
      <c r="P60" s="510"/>
      <c r="Q60" s="513"/>
      <c r="R60" s="489"/>
      <c r="S60" s="458"/>
      <c r="T60" s="511"/>
      <c r="U60" s="499"/>
      <c r="V60" s="561"/>
      <c r="W60"/>
    </row>
    <row r="61" spans="1:26" ht="20" customHeight="1">
      <c r="F61" s="406" t="s">
        <v>48</v>
      </c>
      <c r="G61" s="295">
        <f>'SCFF Calculator (District Data)'!F57</f>
        <v>213611947.76179999</v>
      </c>
      <c r="H61" s="304"/>
      <c r="I61" s="75"/>
      <c r="J61" s="337"/>
      <c r="L61" s="311"/>
      <c r="M61" s="75"/>
      <c r="N61" s="337"/>
      <c r="P61" s="319"/>
      <c r="Q61" s="75"/>
      <c r="R61" s="404"/>
      <c r="T61" s="276"/>
      <c r="U61" s="405"/>
      <c r="V61" s="475"/>
    </row>
    <row r="62" spans="1:26" ht="7.5" customHeight="1">
      <c r="A62" s="262"/>
      <c r="B62" s="262"/>
      <c r="C62" s="262"/>
      <c r="D62" s="262"/>
      <c r="E62" s="262"/>
      <c r="F62" s="294"/>
      <c r="G62" s="294"/>
      <c r="H62" s="482"/>
      <c r="I62" s="262"/>
      <c r="J62" s="294"/>
      <c r="K62" s="262"/>
      <c r="L62" s="481"/>
      <c r="M62" s="262"/>
      <c r="N62" s="294"/>
      <c r="O62" s="458"/>
      <c r="P62" s="319"/>
      <c r="Q62" s="262"/>
      <c r="R62" s="262"/>
      <c r="S62" s="458"/>
      <c r="T62" s="276"/>
      <c r="U62" s="262"/>
      <c r="V62" s="407"/>
    </row>
    <row r="63" spans="1:26" ht="19.5" customHeight="1"/>
  </sheetData>
  <mergeCells count="41">
    <mergeCell ref="U54:V54"/>
    <mergeCell ref="E54:G54"/>
    <mergeCell ref="I54:K54"/>
    <mergeCell ref="M54:O54"/>
    <mergeCell ref="Q54:S54"/>
    <mergeCell ref="I2:K2"/>
    <mergeCell ref="M2:O2"/>
    <mergeCell ref="Q2:S2"/>
    <mergeCell ref="V5:V7"/>
    <mergeCell ref="E5:G5"/>
    <mergeCell ref="J5:K5"/>
    <mergeCell ref="U2:V2"/>
    <mergeCell ref="U3:V3"/>
    <mergeCell ref="A2:G3"/>
    <mergeCell ref="M3:O3"/>
    <mergeCell ref="I3:K3"/>
    <mergeCell ref="Q3:S3"/>
    <mergeCell ref="N5:O5"/>
    <mergeCell ref="R5:S5"/>
    <mergeCell ref="C19:D19"/>
    <mergeCell ref="C50:D50"/>
    <mergeCell ref="C45:D45"/>
    <mergeCell ref="C43:D43"/>
    <mergeCell ref="A5:C7"/>
    <mergeCell ref="A10:A19"/>
    <mergeCell ref="C53:D53"/>
    <mergeCell ref="A20:A24"/>
    <mergeCell ref="C24:D24"/>
    <mergeCell ref="B44:B52"/>
    <mergeCell ref="C42:D42"/>
    <mergeCell ref="C52:D52"/>
    <mergeCell ref="C51:D51"/>
    <mergeCell ref="B35:B43"/>
    <mergeCell ref="C36:D36"/>
    <mergeCell ref="C41:D41"/>
    <mergeCell ref="A25:A53"/>
    <mergeCell ref="B26:B34"/>
    <mergeCell ref="C27:D27"/>
    <mergeCell ref="C32:D32"/>
    <mergeCell ref="C33:D33"/>
    <mergeCell ref="C34:D34"/>
  </mergeCells>
  <printOptions horizontalCentered="1" verticalCentered="1"/>
  <pageMargins left="0.25" right="0.25" top="0.75" bottom="0.75" header="0.3" footer="0.3"/>
  <pageSetup scale="37" fitToHeight="0" orientation="landscape" r:id="rId1"/>
  <headerFooter>
    <oddFooter>&amp;R&amp;12 2</oddFooter>
  </headerFooter>
  <ignoredErrors>
    <ignoredError sqref="J13:M1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800B-4756-497C-AEBE-76095F7F6288}">
  <sheetPr>
    <tabColor rgb="FFFFFF00"/>
    <pageSetUpPr fitToPage="1"/>
  </sheetPr>
  <dimension ref="A1:T30"/>
  <sheetViews>
    <sheetView showGridLines="0" zoomScale="90" zoomScaleNormal="90" zoomScaleSheetLayoutView="80" zoomScalePageLayoutView="70" workbookViewId="0">
      <selection activeCell="K17" sqref="K17"/>
    </sheetView>
  </sheetViews>
  <sheetFormatPr baseColWidth="10" defaultColWidth="9.1640625" defaultRowHeight="15"/>
  <cols>
    <col min="1" max="1" width="9.6640625" customWidth="1"/>
    <col min="2" max="2" width="4.5" customWidth="1"/>
    <col min="3" max="3" width="30.33203125" customWidth="1"/>
    <col min="4" max="4" width="2" customWidth="1"/>
    <col min="5" max="5" width="22.6640625" customWidth="1"/>
    <col min="6" max="6" width="22.6640625" style="77" customWidth="1"/>
    <col min="7" max="7" width="0.83203125" customWidth="1"/>
    <col min="8" max="8" width="22.6640625" customWidth="1"/>
    <col min="9" max="9" width="13.83203125" customWidth="1"/>
    <col min="10" max="10" width="0.83203125" customWidth="1"/>
    <col min="11" max="11" width="22.6640625" customWidth="1"/>
    <col min="12" max="12" width="15.83203125" customWidth="1"/>
    <col min="13" max="13" width="0.83203125" customWidth="1"/>
    <col min="14" max="14" width="22.6640625" customWidth="1"/>
    <col min="15" max="15" width="15.83203125" customWidth="1"/>
    <col min="16" max="16" width="2.83203125" customWidth="1"/>
    <col min="17" max="17" width="26.83203125" customWidth="1"/>
    <col min="18" max="18" width="6.5" customWidth="1"/>
    <col min="19" max="19" width="16.1640625" customWidth="1"/>
    <col min="20" max="20" width="42.5" customWidth="1"/>
  </cols>
  <sheetData>
    <row r="1" spans="1:19">
      <c r="A1" s="469"/>
      <c r="B1" s="469"/>
      <c r="C1" s="469"/>
      <c r="D1" s="469"/>
      <c r="E1" s="469"/>
      <c r="F1" s="483"/>
      <c r="G1" s="302"/>
      <c r="H1" s="307"/>
      <c r="I1" s="302"/>
      <c r="J1" s="309"/>
      <c r="K1" s="309"/>
      <c r="L1" s="309"/>
      <c r="M1" s="317"/>
      <c r="N1" s="317"/>
      <c r="O1" s="317"/>
      <c r="P1" s="263"/>
      <c r="Q1" s="263"/>
    </row>
    <row r="2" spans="1:19" ht="54" customHeight="1">
      <c r="A2" s="1110" t="s">
        <v>306</v>
      </c>
      <c r="B2" s="1110"/>
      <c r="C2" s="1110"/>
      <c r="D2" s="1110"/>
      <c r="E2" s="1110"/>
      <c r="F2" s="1110"/>
      <c r="G2" s="302"/>
      <c r="H2" s="1112"/>
      <c r="I2" s="1112"/>
      <c r="J2" s="309"/>
      <c r="K2" s="1112"/>
      <c r="L2" s="1112"/>
      <c r="M2" s="317"/>
      <c r="N2" s="1112"/>
      <c r="O2" s="1112"/>
      <c r="P2" s="263"/>
      <c r="Q2" s="587" t="s">
        <v>15</v>
      </c>
      <c r="R2" s="586"/>
      <c r="S2" s="586"/>
    </row>
    <row r="3" spans="1:19" ht="54.75" customHeight="1" thickBot="1">
      <c r="A3" s="1111"/>
      <c r="B3" s="1111"/>
      <c r="C3" s="1111"/>
      <c r="D3" s="1111"/>
      <c r="E3" s="1111"/>
      <c r="F3" s="1111"/>
      <c r="G3" s="302"/>
      <c r="H3" s="1113"/>
      <c r="I3" s="1113"/>
      <c r="J3" s="310"/>
      <c r="K3" s="1113"/>
      <c r="L3" s="1113"/>
      <c r="M3" s="317"/>
      <c r="N3" s="1113"/>
      <c r="O3" s="1113"/>
      <c r="P3" s="263"/>
      <c r="Q3" s="473"/>
      <c r="R3" s="411"/>
      <c r="S3" s="411"/>
    </row>
    <row r="4" spans="1:19" ht="6.75" customHeight="1">
      <c r="A4" s="105"/>
      <c r="B4" s="105"/>
      <c r="C4" s="105"/>
      <c r="D4" s="105"/>
      <c r="G4" s="302"/>
      <c r="H4" s="105"/>
      <c r="I4" s="235"/>
      <c r="J4" s="310"/>
      <c r="K4" s="105"/>
      <c r="L4" s="235"/>
      <c r="M4" s="317"/>
      <c r="N4" s="105"/>
      <c r="O4" s="235"/>
      <c r="P4" s="263"/>
      <c r="Q4" s="268"/>
      <c r="R4" s="445"/>
      <c r="S4" s="445"/>
    </row>
    <row r="5" spans="1:19" s="28" customFormat="1" ht="45" customHeight="1">
      <c r="A5" s="1117" t="s">
        <v>247</v>
      </c>
      <c r="B5" s="1117"/>
      <c r="C5" s="1117"/>
      <c r="D5" s="1117"/>
      <c r="E5" s="1117"/>
      <c r="F5" s="591"/>
      <c r="G5" s="303"/>
      <c r="H5" s="111"/>
      <c r="I5" s="585"/>
      <c r="J5" s="310"/>
      <c r="K5" s="111"/>
      <c r="L5" s="585"/>
      <c r="M5" s="318"/>
      <c r="N5" s="111"/>
      <c r="O5" s="585"/>
      <c r="P5" s="264"/>
      <c r="Q5" s="1124" t="s">
        <v>198</v>
      </c>
      <c r="R5" s="595"/>
      <c r="S5" s="595"/>
    </row>
    <row r="6" spans="1:19" s="28" customFormat="1" ht="6.75" customHeight="1">
      <c r="A6" s="1117"/>
      <c r="B6" s="1117"/>
      <c r="C6" s="1117"/>
      <c r="D6" s="270"/>
      <c r="E6" s="595"/>
      <c r="F6" s="595"/>
      <c r="G6" s="303"/>
      <c r="H6" s="111"/>
      <c r="I6" s="585"/>
      <c r="J6" s="310"/>
      <c r="K6" s="111"/>
      <c r="L6" s="585"/>
      <c r="M6" s="318"/>
      <c r="N6" s="111"/>
      <c r="O6" s="585"/>
      <c r="P6" s="264"/>
      <c r="Q6" s="1124"/>
      <c r="R6" s="595"/>
      <c r="S6" s="595"/>
    </row>
    <row r="7" spans="1:19" s="28" customFormat="1" ht="35.25" customHeight="1">
      <c r="A7" s="1117"/>
      <c r="B7" s="1117"/>
      <c r="C7" s="1117"/>
      <c r="D7" s="113"/>
      <c r="E7" s="408" t="s">
        <v>218</v>
      </c>
      <c r="F7" s="116" t="s">
        <v>308</v>
      </c>
      <c r="G7" s="303"/>
      <c r="H7" s="594" t="s">
        <v>104</v>
      </c>
      <c r="I7" s="589" t="s">
        <v>103</v>
      </c>
      <c r="J7" s="310"/>
      <c r="K7" s="594" t="s">
        <v>104</v>
      </c>
      <c r="L7" s="589" t="s">
        <v>103</v>
      </c>
      <c r="M7" s="318"/>
      <c r="N7" s="594" t="s">
        <v>104</v>
      </c>
      <c r="O7" s="589" t="s">
        <v>103</v>
      </c>
      <c r="P7" s="264"/>
      <c r="Q7" s="1124"/>
      <c r="R7" s="593"/>
      <c r="S7" s="115"/>
    </row>
    <row r="8" spans="1:19" s="28" customFormat="1" ht="9.75" customHeight="1" thickBot="1">
      <c r="A8" s="467"/>
      <c r="B8" s="467"/>
      <c r="C8" s="467"/>
      <c r="D8" s="239"/>
      <c r="E8" s="468"/>
      <c r="F8" s="241"/>
      <c r="G8" s="462"/>
      <c r="H8" s="240"/>
      <c r="I8" s="463"/>
      <c r="J8" s="464"/>
      <c r="K8" s="240"/>
      <c r="L8" s="463"/>
      <c r="M8" s="465"/>
      <c r="N8" s="240"/>
      <c r="O8" s="463"/>
      <c r="P8" s="466"/>
      <c r="Q8" s="240"/>
      <c r="R8" s="593"/>
      <c r="S8" s="593"/>
    </row>
    <row r="9" spans="1:19" ht="27.75" customHeight="1">
      <c r="A9" s="1127" t="s">
        <v>274</v>
      </c>
      <c r="B9" s="588"/>
      <c r="C9" s="412"/>
      <c r="D9" s="413"/>
      <c r="E9" s="596" t="s">
        <v>218</v>
      </c>
      <c r="F9" s="454" t="s">
        <v>308</v>
      </c>
      <c r="G9" s="304"/>
      <c r="H9" s="418"/>
      <c r="I9" s="273"/>
      <c r="J9" s="311"/>
      <c r="K9" s="418"/>
      <c r="L9" s="273"/>
      <c r="M9" s="319"/>
      <c r="N9" s="418"/>
      <c r="O9" s="273"/>
      <c r="P9" s="276"/>
      <c r="Q9" s="425"/>
      <c r="R9" s="275"/>
      <c r="S9" s="275"/>
    </row>
    <row r="10" spans="1:19" ht="15" customHeight="1">
      <c r="A10" s="1128"/>
      <c r="B10" s="592"/>
      <c r="C10" s="410" t="s">
        <v>291</v>
      </c>
      <c r="D10" s="413"/>
      <c r="E10" s="409"/>
      <c r="F10" s="272"/>
      <c r="G10" s="306"/>
      <c r="H10" s="419"/>
      <c r="I10" s="282"/>
      <c r="J10" s="314"/>
      <c r="K10" s="419"/>
      <c r="L10" s="282"/>
      <c r="M10" s="321"/>
      <c r="N10" s="419"/>
      <c r="O10" s="282"/>
      <c r="P10" s="289"/>
      <c r="Q10" s="426"/>
      <c r="R10" s="414"/>
      <c r="S10" s="414"/>
    </row>
    <row r="11" spans="1:19" ht="15" customHeight="1">
      <c r="A11" s="1128"/>
      <c r="B11" s="491">
        <v>1</v>
      </c>
      <c r="C11" t="s">
        <v>269</v>
      </c>
      <c r="D11" s="413"/>
      <c r="E11" s="541">
        <v>650000</v>
      </c>
      <c r="F11" s="130">
        <v>971827</v>
      </c>
      <c r="G11" s="530"/>
      <c r="H11" s="529">
        <v>34151871</v>
      </c>
      <c r="I11" s="133">
        <f>IFERROR(H11/Q11, 0)</f>
        <v>0.36504168985952856</v>
      </c>
      <c r="J11" s="313"/>
      <c r="K11" s="529">
        <v>48249665</v>
      </c>
      <c r="L11" s="133">
        <f>IFERROR(K11/Q11, 0)</f>
        <v>0.51572984820527545</v>
      </c>
      <c r="M11" s="317"/>
      <c r="N11" s="529">
        <v>9532721</v>
      </c>
      <c r="O11" s="133">
        <f>IFERROR(N11/Q11, 0)</f>
        <v>0.10189311686025679</v>
      </c>
      <c r="P11" s="263"/>
      <c r="Q11" s="559">
        <f>SUM(E11:F11, H11, K11, N11)</f>
        <v>93556084</v>
      </c>
      <c r="R11" s="275"/>
      <c r="S11" s="275"/>
    </row>
    <row r="12" spans="1:19" ht="15" customHeight="1">
      <c r="A12" s="1128"/>
      <c r="B12" s="491">
        <v>2</v>
      </c>
      <c r="C12" t="s">
        <v>270</v>
      </c>
      <c r="D12" s="413"/>
      <c r="E12" s="541">
        <v>0</v>
      </c>
      <c r="F12" s="542">
        <v>9672761</v>
      </c>
      <c r="G12" s="530"/>
      <c r="H12" s="529">
        <v>14069565</v>
      </c>
      <c r="I12" s="133">
        <f t="shared" ref="I12:I18" si="0">IFERROR(H12/Q12, 0)</f>
        <v>0.29173193688044441</v>
      </c>
      <c r="J12" s="313"/>
      <c r="K12" s="529">
        <v>18786524</v>
      </c>
      <c r="L12" s="133">
        <f t="shared" ref="L12:L18" si="1">IFERROR(K12/Q12, 0)</f>
        <v>0.38953791633010365</v>
      </c>
      <c r="M12" s="317"/>
      <c r="N12" s="529">
        <v>5698866</v>
      </c>
      <c r="O12" s="133">
        <f t="shared" ref="O12:O18" si="2">IFERROR(N12/Q12, 0)</f>
        <v>0.11816578666093165</v>
      </c>
      <c r="P12" s="263"/>
      <c r="Q12" s="559">
        <f t="shared" ref="Q12:Q16" si="3">SUM(E12:F12, H12, K12, N12)</f>
        <v>48227716</v>
      </c>
      <c r="R12" s="275"/>
      <c r="S12" s="275"/>
    </row>
    <row r="13" spans="1:19" ht="15" customHeight="1">
      <c r="A13" s="1128"/>
      <c r="B13" s="491">
        <v>3</v>
      </c>
      <c r="C13" t="s">
        <v>78</v>
      </c>
      <c r="D13" s="413"/>
      <c r="E13" s="541">
        <v>5583642</v>
      </c>
      <c r="F13" s="542">
        <v>3736513</v>
      </c>
      <c r="G13" s="530"/>
      <c r="H13" s="529">
        <v>14094973</v>
      </c>
      <c r="I13" s="133">
        <f t="shared" si="0"/>
        <v>0.30279839313532492</v>
      </c>
      <c r="J13" s="313"/>
      <c r="K13" s="529">
        <v>18924872</v>
      </c>
      <c r="L13" s="133">
        <f t="shared" si="1"/>
        <v>0.40655777289475498</v>
      </c>
      <c r="M13" s="317"/>
      <c r="N13" s="529">
        <v>4209035</v>
      </c>
      <c r="O13" s="133">
        <f t="shared" si="2"/>
        <v>9.0421530757834184E-2</v>
      </c>
      <c r="P13" s="263"/>
      <c r="Q13" s="559">
        <f t="shared" si="3"/>
        <v>46549035</v>
      </c>
      <c r="R13" s="275"/>
      <c r="S13" s="275"/>
    </row>
    <row r="14" spans="1:19" ht="15" customHeight="1">
      <c r="A14" s="1128"/>
      <c r="B14" s="491">
        <v>4</v>
      </c>
      <c r="C14" t="s">
        <v>271</v>
      </c>
      <c r="D14" s="413"/>
      <c r="E14" s="541">
        <v>5114125</v>
      </c>
      <c r="F14" s="130">
        <v>186135</v>
      </c>
      <c r="G14" s="530"/>
      <c r="H14" s="529">
        <v>1294487</v>
      </c>
      <c r="I14" s="133">
        <f t="shared" si="0"/>
        <v>0.16816149381388124</v>
      </c>
      <c r="J14" s="313"/>
      <c r="K14" s="529">
        <v>955906</v>
      </c>
      <c r="L14" s="133">
        <f t="shared" si="1"/>
        <v>0.12417782558314756</v>
      </c>
      <c r="M14" s="317"/>
      <c r="N14" s="529">
        <v>147227</v>
      </c>
      <c r="O14" s="133">
        <f t="shared" si="2"/>
        <v>1.9125655375246173E-2</v>
      </c>
      <c r="P14" s="263"/>
      <c r="Q14" s="559">
        <f t="shared" si="3"/>
        <v>7697880</v>
      </c>
      <c r="R14" s="275"/>
      <c r="S14" s="275"/>
    </row>
    <row r="15" spans="1:19" ht="15" customHeight="1">
      <c r="A15" s="1128"/>
      <c r="B15" s="491">
        <v>5</v>
      </c>
      <c r="C15" t="s">
        <v>272</v>
      </c>
      <c r="D15" s="413"/>
      <c r="E15" s="541">
        <v>0</v>
      </c>
      <c r="F15" s="130">
        <v>2958738</v>
      </c>
      <c r="G15" s="530"/>
      <c r="H15" s="529">
        <v>2362088</v>
      </c>
      <c r="I15" s="133">
        <f t="shared" si="0"/>
        <v>0.28805318907633737</v>
      </c>
      <c r="J15" s="313"/>
      <c r="K15" s="529">
        <v>2312261</v>
      </c>
      <c r="L15" s="133">
        <f t="shared" si="1"/>
        <v>0.28197685904455755</v>
      </c>
      <c r="M15" s="317"/>
      <c r="N15" s="529">
        <v>567093</v>
      </c>
      <c r="O15" s="133">
        <f t="shared" si="2"/>
        <v>6.91561648646737E-2</v>
      </c>
      <c r="P15" s="263"/>
      <c r="Q15" s="559">
        <f t="shared" si="3"/>
        <v>8200180</v>
      </c>
      <c r="R15" s="275"/>
      <c r="S15" s="275"/>
    </row>
    <row r="16" spans="1:19" ht="15" customHeight="1">
      <c r="A16" s="1128"/>
      <c r="B16" s="491">
        <v>6</v>
      </c>
      <c r="C16" t="s">
        <v>273</v>
      </c>
      <c r="D16" s="413"/>
      <c r="E16" s="541">
        <v>0</v>
      </c>
      <c r="F16" s="130">
        <v>29279</v>
      </c>
      <c r="G16" s="530"/>
      <c r="H16" s="529">
        <v>834716</v>
      </c>
      <c r="I16" s="133">
        <f t="shared" si="0"/>
        <v>0.72043485916100769</v>
      </c>
      <c r="J16" s="313"/>
      <c r="K16" s="529">
        <v>257966</v>
      </c>
      <c r="L16" s="133">
        <f t="shared" si="1"/>
        <v>0.222647821388746</v>
      </c>
      <c r="M16" s="317"/>
      <c r="N16" s="529">
        <v>36667</v>
      </c>
      <c r="O16" s="133">
        <f t="shared" si="2"/>
        <v>3.1646913418284385E-2</v>
      </c>
      <c r="P16" s="263"/>
      <c r="Q16" s="559">
        <f t="shared" si="3"/>
        <v>1158628</v>
      </c>
      <c r="R16" s="275"/>
      <c r="S16" s="275"/>
    </row>
    <row r="17" spans="1:20" ht="15" customHeight="1">
      <c r="A17" s="1128"/>
      <c r="B17" s="491">
        <v>8</v>
      </c>
      <c r="C17" t="s">
        <v>301</v>
      </c>
      <c r="D17" s="413"/>
      <c r="E17" s="541">
        <f>390000+125000</f>
        <v>515000</v>
      </c>
      <c r="F17" s="130">
        <v>364015</v>
      </c>
      <c r="G17" s="530"/>
      <c r="H17" s="529">
        <v>-1930140</v>
      </c>
      <c r="I17" s="133">
        <f>IFERROR(H17/Q17, 0)</f>
        <v>-1.770613073882416</v>
      </c>
      <c r="J17" s="313"/>
      <c r="K17" s="529">
        <f>9785+1739388</f>
        <v>1749173</v>
      </c>
      <c r="L17" s="133">
        <f>IFERROR(K17/Q17, 0)</f>
        <v>1.6046030766069441</v>
      </c>
      <c r="M17" s="317"/>
      <c r="N17" s="529">
        <f>25947+366102</f>
        <v>392049</v>
      </c>
      <c r="O17" s="133">
        <f>IFERROR(N17/Q17, 0)</f>
        <v>0.35964597645897567</v>
      </c>
      <c r="P17" s="263"/>
      <c r="Q17" s="559">
        <f>SUM(E17:F17, H17, K17, N17)</f>
        <v>1090097</v>
      </c>
      <c r="R17" s="275"/>
      <c r="S17" s="275"/>
    </row>
    <row r="18" spans="1:20" ht="15.75" customHeight="1" thickBot="1">
      <c r="A18" s="1129"/>
      <c r="B18" s="590"/>
      <c r="C18" s="1122" t="s">
        <v>15</v>
      </c>
      <c r="D18" s="1123"/>
      <c r="E18" s="546">
        <f>SUM(E11:E17)</f>
        <v>11862767</v>
      </c>
      <c r="F18" s="547">
        <f>SUM(F11:F17)</f>
        <v>17919268</v>
      </c>
      <c r="G18" s="610"/>
      <c r="H18" s="549">
        <f>SUM(H11:H17)</f>
        <v>64877560</v>
      </c>
      <c r="I18" s="422">
        <f t="shared" si="0"/>
        <v>0.31420805598150559</v>
      </c>
      <c r="J18" s="420"/>
      <c r="K18" s="549">
        <f>SUM(K11:K17)</f>
        <v>91236367</v>
      </c>
      <c r="L18" s="422">
        <f t="shared" si="1"/>
        <v>0.44186620936245424</v>
      </c>
      <c r="M18" s="421"/>
      <c r="N18" s="549">
        <f>SUM(N11:N17)</f>
        <v>20583658</v>
      </c>
      <c r="O18" s="422">
        <f t="shared" si="2"/>
        <v>9.9688569748433278E-2</v>
      </c>
      <c r="P18" s="423"/>
      <c r="Q18" s="560">
        <f>SUM(Q11:Q17)</f>
        <v>206479620</v>
      </c>
      <c r="R18" s="448"/>
      <c r="S18" s="493"/>
      <c r="T18" s="77"/>
    </row>
    <row r="19" spans="1:20" ht="27.75" customHeight="1">
      <c r="A19" s="1127" t="s">
        <v>275</v>
      </c>
      <c r="B19" s="622"/>
      <c r="C19" s="412"/>
      <c r="D19" s="413"/>
      <c r="E19" s="625" t="s">
        <v>218</v>
      </c>
      <c r="F19" s="454" t="s">
        <v>308</v>
      </c>
      <c r="G19" s="304"/>
      <c r="H19" s="418"/>
      <c r="I19" s="273"/>
      <c r="J19" s="311"/>
      <c r="K19" s="418"/>
      <c r="L19" s="273"/>
      <c r="M19" s="319"/>
      <c r="N19" s="418"/>
      <c r="O19" s="273"/>
      <c r="P19" s="276"/>
      <c r="Q19" s="425"/>
      <c r="R19" s="275"/>
      <c r="S19" s="275"/>
    </row>
    <row r="20" spans="1:20" ht="15" customHeight="1">
      <c r="A20" s="1128"/>
      <c r="B20" s="624"/>
      <c r="C20" s="410" t="s">
        <v>291</v>
      </c>
      <c r="D20" s="413"/>
      <c r="E20" s="409"/>
      <c r="F20" s="272"/>
      <c r="G20" s="306"/>
      <c r="H20" s="419"/>
      <c r="I20" s="282"/>
      <c r="J20" s="314"/>
      <c r="K20" s="419"/>
      <c r="L20" s="282"/>
      <c r="M20" s="321"/>
      <c r="N20" s="419"/>
      <c r="O20" s="282"/>
      <c r="P20" s="289"/>
      <c r="Q20" s="426"/>
      <c r="R20" s="414"/>
      <c r="S20" s="414"/>
    </row>
    <row r="21" spans="1:20" ht="15" customHeight="1">
      <c r="A21" s="1128"/>
      <c r="B21" s="491">
        <v>1</v>
      </c>
      <c r="C21" t="s">
        <v>269</v>
      </c>
      <c r="D21" s="413"/>
      <c r="E21" s="541">
        <v>0</v>
      </c>
      <c r="F21" s="130">
        <v>0</v>
      </c>
      <c r="G21" s="530"/>
      <c r="H21" s="529">
        <v>0</v>
      </c>
      <c r="I21" s="133">
        <f>IFERROR(H21/Q21, 0)</f>
        <v>0</v>
      </c>
      <c r="J21" s="313"/>
      <c r="K21" s="529">
        <v>7000</v>
      </c>
      <c r="L21" s="133">
        <f>IFERROR(K21/Q21, 0)</f>
        <v>1</v>
      </c>
      <c r="M21" s="317"/>
      <c r="N21" s="529">
        <v>0</v>
      </c>
      <c r="O21" s="133">
        <f>IFERROR(N21/Q21, 0)</f>
        <v>0</v>
      </c>
      <c r="P21" s="263"/>
      <c r="Q21" s="559">
        <f>SUM(E21:F21, H21, K21, N21)</f>
        <v>7000</v>
      </c>
      <c r="R21" s="275"/>
      <c r="S21" s="275"/>
    </row>
    <row r="22" spans="1:20" ht="15" customHeight="1">
      <c r="A22" s="1128"/>
      <c r="B22" s="491">
        <v>2</v>
      </c>
      <c r="C22" t="s">
        <v>270</v>
      </c>
      <c r="D22" s="413"/>
      <c r="E22" s="541">
        <v>0</v>
      </c>
      <c r="F22" s="542">
        <v>221287</v>
      </c>
      <c r="G22" s="530"/>
      <c r="H22" s="529">
        <v>273703</v>
      </c>
      <c r="I22" s="133">
        <f t="shared" ref="I22:I26" si="4">IFERROR(H22/Q22, 0)</f>
        <v>0.25996267292267217</v>
      </c>
      <c r="J22" s="313"/>
      <c r="K22" s="529">
        <v>297409</v>
      </c>
      <c r="L22" s="133">
        <f t="shared" ref="L22:L26" si="5">IFERROR(K22/Q22, 0)</f>
        <v>0.28247859391844082</v>
      </c>
      <c r="M22" s="317"/>
      <c r="N22" s="529">
        <v>260456</v>
      </c>
      <c r="O22" s="133">
        <f t="shared" ref="O22:O26" si="6">IFERROR(N22/Q22, 0)</f>
        <v>0.24738069344781571</v>
      </c>
      <c r="P22" s="263"/>
      <c r="Q22" s="559">
        <f t="shared" ref="Q22:Q26" si="7">SUM(E22:F22, H22, K22, N22)</f>
        <v>1052855</v>
      </c>
      <c r="R22" s="275"/>
      <c r="S22" s="275"/>
    </row>
    <row r="23" spans="1:20" ht="15" customHeight="1">
      <c r="A23" s="1128"/>
      <c r="B23" s="491">
        <v>3</v>
      </c>
      <c r="C23" t="s">
        <v>78</v>
      </c>
      <c r="D23" s="413"/>
      <c r="E23" s="541">
        <v>0</v>
      </c>
      <c r="F23" s="542">
        <v>76345</v>
      </c>
      <c r="G23" s="530"/>
      <c r="H23" s="529">
        <v>94271</v>
      </c>
      <c r="I23" s="133">
        <f t="shared" si="4"/>
        <v>0.36431969516036156</v>
      </c>
      <c r="J23" s="313"/>
      <c r="K23" s="529">
        <v>41510</v>
      </c>
      <c r="L23" s="133">
        <f t="shared" si="5"/>
        <v>0.1604195409628264</v>
      </c>
      <c r="M23" s="317"/>
      <c r="N23" s="529">
        <v>46633</v>
      </c>
      <c r="O23" s="133">
        <f t="shared" si="6"/>
        <v>0.18021788614115838</v>
      </c>
      <c r="P23" s="263"/>
      <c r="Q23" s="559">
        <f t="shared" si="7"/>
        <v>258759</v>
      </c>
      <c r="R23" s="275"/>
      <c r="S23" s="275"/>
    </row>
    <row r="24" spans="1:20" ht="15" customHeight="1">
      <c r="A24" s="1128"/>
      <c r="B24" s="491">
        <v>4</v>
      </c>
      <c r="C24" t="s">
        <v>271</v>
      </c>
      <c r="D24" s="413"/>
      <c r="E24" s="541">
        <v>0</v>
      </c>
      <c r="F24" s="130">
        <v>136479</v>
      </c>
      <c r="G24" s="530"/>
      <c r="H24" s="529">
        <v>97201</v>
      </c>
      <c r="I24" s="133">
        <f t="shared" si="4"/>
        <v>0.20061504803772845</v>
      </c>
      <c r="J24" s="313"/>
      <c r="K24" s="529">
        <v>189622</v>
      </c>
      <c r="L24" s="133">
        <f t="shared" si="5"/>
        <v>0.39136456043672541</v>
      </c>
      <c r="M24" s="317"/>
      <c r="N24" s="529">
        <v>61213</v>
      </c>
      <c r="O24" s="133">
        <f t="shared" si="6"/>
        <v>0.12633870984386447</v>
      </c>
      <c r="P24" s="263"/>
      <c r="Q24" s="559">
        <f t="shared" si="7"/>
        <v>484515</v>
      </c>
      <c r="R24" s="275"/>
      <c r="S24" s="275"/>
    </row>
    <row r="25" spans="1:20" ht="15" customHeight="1">
      <c r="A25" s="1128"/>
      <c r="B25" s="491">
        <v>5</v>
      </c>
      <c r="C25" t="s">
        <v>272</v>
      </c>
      <c r="D25" s="413"/>
      <c r="E25" s="541">
        <v>0</v>
      </c>
      <c r="F25" s="130">
        <v>268095</v>
      </c>
      <c r="G25" s="530"/>
      <c r="H25" s="529"/>
      <c r="I25" s="133">
        <f t="shared" si="4"/>
        <v>0</v>
      </c>
      <c r="J25" s="313"/>
      <c r="K25" s="529">
        <v>168834</v>
      </c>
      <c r="L25" s="133">
        <f t="shared" si="5"/>
        <v>0.32793298151086836</v>
      </c>
      <c r="M25" s="317"/>
      <c r="N25" s="529">
        <v>77914</v>
      </c>
      <c r="O25" s="133">
        <f t="shared" si="6"/>
        <v>0.15133545566318277</v>
      </c>
      <c r="P25" s="263"/>
      <c r="Q25" s="559">
        <f t="shared" si="7"/>
        <v>514843</v>
      </c>
      <c r="R25" s="275"/>
      <c r="S25" s="275"/>
    </row>
    <row r="26" spans="1:20" ht="15" customHeight="1">
      <c r="A26" s="1128"/>
      <c r="B26" s="491">
        <v>6</v>
      </c>
      <c r="C26" t="s">
        <v>273</v>
      </c>
      <c r="D26" s="413"/>
      <c r="E26" s="541">
        <v>0</v>
      </c>
      <c r="F26" s="130">
        <v>11000</v>
      </c>
      <c r="G26" s="530"/>
      <c r="H26" s="529">
        <v>1550221</v>
      </c>
      <c r="I26" s="133">
        <f t="shared" si="4"/>
        <v>0.91420118168720965</v>
      </c>
      <c r="J26" s="313"/>
      <c r="K26" s="529">
        <v>134490</v>
      </c>
      <c r="L26" s="133">
        <f t="shared" si="5"/>
        <v>7.9311863873030256E-2</v>
      </c>
      <c r="M26" s="317"/>
      <c r="N26" s="529">
        <v>0</v>
      </c>
      <c r="O26" s="133">
        <f t="shared" si="6"/>
        <v>0</v>
      </c>
      <c r="P26" s="263"/>
      <c r="Q26" s="559">
        <f t="shared" si="7"/>
        <v>1695711</v>
      </c>
      <c r="R26" s="275"/>
      <c r="S26" s="275"/>
    </row>
    <row r="27" spans="1:20" ht="15" customHeight="1">
      <c r="A27" s="1128"/>
      <c r="B27" s="491">
        <v>8</v>
      </c>
      <c r="C27" t="s">
        <v>283</v>
      </c>
      <c r="D27" s="413"/>
      <c r="E27" s="541">
        <v>0</v>
      </c>
      <c r="F27" s="130">
        <v>55000</v>
      </c>
      <c r="G27" s="530"/>
      <c r="H27" s="529">
        <v>542448</v>
      </c>
      <c r="I27" s="133">
        <f>IFERROR(H27/Q27, 0)</f>
        <v>0.73145335172592341</v>
      </c>
      <c r="J27" s="313"/>
      <c r="K27" s="529">
        <f>34155+100000</f>
        <v>134155</v>
      </c>
      <c r="L27" s="133">
        <f>IFERROR(K27/Q27, 0)</f>
        <v>0.1808986748974856</v>
      </c>
      <c r="M27" s="317"/>
      <c r="N27" s="529">
        <v>10000</v>
      </c>
      <c r="O27" s="133">
        <f>IFERROR(N27/Q27, 0)</f>
        <v>1.3484303596398612E-2</v>
      </c>
      <c r="P27" s="263"/>
      <c r="Q27" s="559">
        <f>SUM(E27:F27, H27, K27, N27)</f>
        <v>741603</v>
      </c>
      <c r="R27" s="275"/>
      <c r="S27" s="275"/>
    </row>
    <row r="28" spans="1:20" ht="15.75" customHeight="1" thickBot="1">
      <c r="A28" s="1129"/>
      <c r="B28" s="623"/>
      <c r="C28" s="1122" t="s">
        <v>15</v>
      </c>
      <c r="D28" s="1123"/>
      <c r="E28" s="546">
        <f>SUM(E21:E27)</f>
        <v>0</v>
      </c>
      <c r="F28" s="547">
        <f>SUM(F21:F27)</f>
        <v>768206</v>
      </c>
      <c r="G28" s="610"/>
      <c r="H28" s="549">
        <f>SUM(H21:H27)</f>
        <v>2557844</v>
      </c>
      <c r="I28" s="422">
        <f t="shared" ref="I28" si="8">IFERROR(H28/Q28, 0)</f>
        <v>0.53789488161174748</v>
      </c>
      <c r="J28" s="420"/>
      <c r="K28" s="549">
        <f>SUM(K21:K27)</f>
        <v>973020</v>
      </c>
      <c r="L28" s="422">
        <f t="shared" ref="L28" si="9">IFERROR(K28/Q28, 0)</f>
        <v>0.20461860758743008</v>
      </c>
      <c r="M28" s="421"/>
      <c r="N28" s="549">
        <f>SUM(N21:N27)</f>
        <v>456216</v>
      </c>
      <c r="O28" s="422">
        <f t="shared" ref="O28" si="10">IFERROR(N28/Q28, 0)</f>
        <v>9.593870904925593E-2</v>
      </c>
      <c r="P28" s="423"/>
      <c r="Q28" s="560">
        <f>SUM(Q21:Q27)</f>
        <v>4755286</v>
      </c>
      <c r="R28" s="448"/>
      <c r="T28" s="493"/>
    </row>
    <row r="29" spans="1:20" ht="7.5" customHeight="1">
      <c r="C29" s="267"/>
      <c r="D29" s="267"/>
      <c r="E29" s="487"/>
      <c r="F29" s="295"/>
      <c r="G29" s="306"/>
      <c r="H29" s="492"/>
      <c r="I29" s="67"/>
      <c r="J29" s="313"/>
      <c r="K29" s="492"/>
      <c r="L29" s="67"/>
      <c r="M29" s="317"/>
      <c r="N29" s="492"/>
      <c r="O29" s="67"/>
      <c r="P29" s="263"/>
      <c r="Q29" s="564"/>
      <c r="R29" s="405"/>
      <c r="S29" s="405"/>
    </row>
    <row r="30" spans="1:20" ht="27.75" customHeight="1">
      <c r="A30" s="262"/>
      <c r="B30" s="262"/>
      <c r="C30" s="496" t="s">
        <v>267</v>
      </c>
      <c r="D30" s="262"/>
      <c r="E30" s="555">
        <f>E18+E28</f>
        <v>11862767</v>
      </c>
      <c r="F30" s="556">
        <f>F18+F28</f>
        <v>18687474</v>
      </c>
      <c r="G30" s="615"/>
      <c r="H30" s="555">
        <f>H18+H28</f>
        <v>67435404</v>
      </c>
      <c r="I30" s="458">
        <f>H30/Q30</f>
        <v>0.31924365757996453</v>
      </c>
      <c r="J30" s="479"/>
      <c r="K30" s="555">
        <f>K18+K28</f>
        <v>92209387</v>
      </c>
      <c r="L30" s="458">
        <f>K30/Q30</f>
        <v>0.4365253297672308</v>
      </c>
      <c r="M30" s="477"/>
      <c r="N30" s="555">
        <f>N18+N28</f>
        <v>21039874</v>
      </c>
      <c r="O30" s="458">
        <f>N30/Q30</f>
        <v>9.9604153491563555E-2</v>
      </c>
      <c r="P30" s="480"/>
      <c r="Q30" s="565">
        <f>Q18+Q28</f>
        <v>211234906</v>
      </c>
      <c r="R30" s="449"/>
      <c r="S30" s="494"/>
    </row>
  </sheetData>
  <mergeCells count="14">
    <mergeCell ref="Q5:Q7"/>
    <mergeCell ref="A9:A18"/>
    <mergeCell ref="C18:D18"/>
    <mergeCell ref="N2:O2"/>
    <mergeCell ref="H3:I3"/>
    <mergeCell ref="K3:L3"/>
    <mergeCell ref="N3:O3"/>
    <mergeCell ref="A5:C7"/>
    <mergeCell ref="D5:E5"/>
    <mergeCell ref="A19:A28"/>
    <mergeCell ref="C28:D28"/>
    <mergeCell ref="A2:F3"/>
    <mergeCell ref="H2:I2"/>
    <mergeCell ref="K2:L2"/>
  </mergeCells>
  <printOptions horizontalCentered="1" verticalCentered="1"/>
  <pageMargins left="0.25" right="0.25" top="0.75" bottom="0.75" header="0.3" footer="0.3"/>
  <pageSetup scale="54" orientation="landscape" r:id="rId1"/>
  <headerFooter>
    <oddFooter>&amp;R&amp;12 4</oddFooter>
  </headerFooter>
  <ignoredErrors>
    <ignoredError sqref="H18:S29 H31:S31 H30:P30 R30:S3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4B9F-5645-494E-A67E-0CDF89FBF30A}">
  <sheetPr>
    <tabColor rgb="FF00B0F0"/>
  </sheetPr>
  <dimension ref="A1:V41"/>
  <sheetViews>
    <sheetView topLeftCell="B13" workbookViewId="0">
      <selection activeCell="D25" sqref="D25"/>
    </sheetView>
  </sheetViews>
  <sheetFormatPr baseColWidth="10" defaultColWidth="9.1640625" defaultRowHeight="15"/>
  <cols>
    <col min="1" max="1" width="9.6640625" style="602" customWidth="1"/>
    <col min="2" max="2" width="63.1640625" customWidth="1"/>
    <col min="3" max="3" width="0.83203125" customWidth="1"/>
    <col min="4" max="4" width="28" bestFit="1" customWidth="1"/>
    <col min="5" max="5" width="19.5" bestFit="1" customWidth="1"/>
    <col min="6" max="6" width="0.83203125" customWidth="1"/>
    <col min="7" max="7" width="29.83203125" style="77" bestFit="1" customWidth="1"/>
    <col min="8" max="8" width="19.5" style="77" bestFit="1" customWidth="1"/>
    <col min="9" max="9" width="0.83203125" customWidth="1"/>
    <col min="10" max="10" width="28" bestFit="1" customWidth="1"/>
    <col min="11" max="11" width="19.33203125" bestFit="1" customWidth="1"/>
    <col min="12" max="12" width="0.83203125" customWidth="1"/>
    <col min="13" max="13" width="29.83203125" bestFit="1" customWidth="1"/>
    <col min="14" max="14" width="17.6640625" bestFit="1" customWidth="1"/>
    <col min="15" max="15" width="0.83203125" customWidth="1"/>
    <col min="16" max="16" width="28" bestFit="1" customWidth="1"/>
    <col min="17" max="17" width="15.5" bestFit="1" customWidth="1"/>
    <col min="18" max="18" width="2.83203125" customWidth="1"/>
    <col min="19" max="19" width="35.83203125" customWidth="1"/>
    <col min="20" max="20" width="4.83203125" customWidth="1"/>
    <col min="21" max="21" width="4.6640625" customWidth="1"/>
    <col min="22" max="22" width="19.83203125" hidden="1" customWidth="1"/>
  </cols>
  <sheetData>
    <row r="1" spans="1:22" ht="15" customHeight="1">
      <c r="A1" s="600"/>
      <c r="B1" s="469"/>
      <c r="C1" s="469"/>
      <c r="D1" s="469"/>
      <c r="E1" s="469"/>
      <c r="F1" s="469"/>
      <c r="G1" s="483"/>
      <c r="H1" s="483"/>
      <c r="I1" s="833"/>
      <c r="J1" s="834"/>
      <c r="K1" s="833"/>
      <c r="L1" s="835"/>
      <c r="M1" s="835"/>
      <c r="N1" s="835"/>
      <c r="O1" s="836"/>
      <c r="P1" s="836"/>
      <c r="Q1" s="836"/>
      <c r="R1" s="263"/>
      <c r="S1" s="263"/>
    </row>
    <row r="2" spans="1:22" ht="16">
      <c r="A2" s="1110" t="s">
        <v>307</v>
      </c>
      <c r="B2" s="1110"/>
      <c r="C2" s="1110"/>
      <c r="D2" s="1110"/>
      <c r="E2" s="1110"/>
      <c r="F2" s="1110"/>
      <c r="G2" s="1110"/>
      <c r="H2" s="1110"/>
      <c r="I2" s="833"/>
      <c r="J2" s="1112"/>
      <c r="K2" s="1112"/>
      <c r="L2" s="835"/>
      <c r="M2" s="1112"/>
      <c r="N2" s="1112"/>
      <c r="O2" s="836"/>
      <c r="P2" s="1112"/>
      <c r="Q2" s="1112"/>
      <c r="R2" s="263"/>
      <c r="S2" s="1153" t="s">
        <v>15</v>
      </c>
    </row>
    <row r="3" spans="1:22" ht="16" thickBot="1">
      <c r="A3" s="1111"/>
      <c r="B3" s="1111"/>
      <c r="C3" s="1111"/>
      <c r="D3" s="1111"/>
      <c r="E3" s="1111"/>
      <c r="F3" s="1111"/>
      <c r="G3" s="1111"/>
      <c r="H3" s="1111"/>
      <c r="I3" s="833"/>
      <c r="J3" s="1113"/>
      <c r="K3" s="1113"/>
      <c r="L3" s="837"/>
      <c r="M3" s="1113"/>
      <c r="N3" s="1113"/>
      <c r="O3" s="836"/>
      <c r="P3" s="1113"/>
      <c r="Q3" s="1113"/>
      <c r="R3" s="263"/>
      <c r="S3" s="1164"/>
    </row>
    <row r="4" spans="1:22" ht="29">
      <c r="A4" s="104"/>
      <c r="B4" s="105"/>
      <c r="C4" s="838"/>
      <c r="D4" s="267"/>
      <c r="F4" s="839"/>
      <c r="H4" s="840"/>
      <c r="I4" s="833"/>
      <c r="J4" s="105"/>
      <c r="K4" s="235"/>
      <c r="L4" s="837"/>
      <c r="M4" s="105"/>
      <c r="N4" s="235"/>
      <c r="O4" s="836"/>
      <c r="P4" s="105"/>
      <c r="Q4" s="235"/>
      <c r="R4" s="263"/>
      <c r="S4" s="268"/>
    </row>
    <row r="5" spans="1:22" s="28" customFormat="1" ht="29">
      <c r="A5" s="1117" t="s">
        <v>263</v>
      </c>
      <c r="B5" s="1117"/>
      <c r="C5" s="841"/>
      <c r="D5" s="687"/>
      <c r="E5" s="690"/>
      <c r="F5" s="842"/>
      <c r="G5" s="687"/>
      <c r="H5" s="690"/>
      <c r="I5" s="843"/>
      <c r="J5" s="691"/>
      <c r="K5" s="829"/>
      <c r="L5" s="844"/>
      <c r="M5" s="691"/>
      <c r="N5" s="829"/>
      <c r="O5" s="845"/>
      <c r="P5" s="691"/>
      <c r="Q5" s="829"/>
      <c r="R5" s="693"/>
      <c r="S5" s="1118"/>
    </row>
    <row r="6" spans="1:22" s="28" customFormat="1" ht="29">
      <c r="A6" s="1117"/>
      <c r="B6" s="1117"/>
      <c r="C6" s="841"/>
      <c r="D6" s="687"/>
      <c r="E6" s="690"/>
      <c r="F6" s="842"/>
      <c r="G6" s="687"/>
      <c r="H6" s="690"/>
      <c r="I6" s="843"/>
      <c r="J6" s="691"/>
      <c r="K6" s="829"/>
      <c r="L6" s="844"/>
      <c r="M6" s="691"/>
      <c r="N6" s="829"/>
      <c r="O6" s="845"/>
      <c r="P6" s="691"/>
      <c r="Q6" s="829"/>
      <c r="R6" s="693"/>
      <c r="S6" s="1118"/>
    </row>
    <row r="7" spans="1:22" s="28" customFormat="1" ht="30" thickBot="1">
      <c r="A7" s="1161"/>
      <c r="B7" s="1161"/>
      <c r="C7" s="846"/>
      <c r="D7" s="847" t="s">
        <v>218</v>
      </c>
      <c r="E7" s="848" t="s">
        <v>103</v>
      </c>
      <c r="F7" s="849"/>
      <c r="G7" s="850" t="s">
        <v>308</v>
      </c>
      <c r="H7" s="848" t="s">
        <v>103</v>
      </c>
      <c r="I7" s="851"/>
      <c r="J7" s="852" t="s">
        <v>104</v>
      </c>
      <c r="K7" s="848" t="s">
        <v>103</v>
      </c>
      <c r="L7" s="853"/>
      <c r="M7" s="852" t="s">
        <v>104</v>
      </c>
      <c r="N7" s="848" t="s">
        <v>103</v>
      </c>
      <c r="O7" s="854"/>
      <c r="P7" s="852" t="s">
        <v>104</v>
      </c>
      <c r="Q7" s="848" t="s">
        <v>103</v>
      </c>
      <c r="R7" s="855"/>
      <c r="S7" s="1162"/>
    </row>
    <row r="8" spans="1:22" s="28" customFormat="1" ht="19">
      <c r="A8" s="828"/>
      <c r="B8" s="828"/>
      <c r="C8" s="856"/>
      <c r="D8" s="857"/>
      <c r="E8" s="830"/>
      <c r="F8" s="858"/>
      <c r="G8" s="116"/>
      <c r="H8" s="830"/>
      <c r="I8" s="859"/>
      <c r="J8" s="831"/>
      <c r="K8" s="830"/>
      <c r="L8" s="837"/>
      <c r="M8" s="831"/>
      <c r="N8" s="830"/>
      <c r="O8" s="836"/>
      <c r="P8" s="831"/>
      <c r="Q8" s="830"/>
      <c r="R8" s="264"/>
      <c r="S8" s="831"/>
    </row>
    <row r="9" spans="1:22" ht="19">
      <c r="A9" s="1163"/>
      <c r="B9" s="860"/>
      <c r="C9" s="861"/>
      <c r="D9" s="862"/>
      <c r="E9" s="863"/>
      <c r="F9" s="864"/>
      <c r="G9" s="862"/>
      <c r="H9" s="863"/>
      <c r="I9" s="843"/>
      <c r="J9" s="862"/>
      <c r="K9" s="863"/>
      <c r="L9" s="844"/>
      <c r="M9" s="862"/>
      <c r="N9" s="863"/>
      <c r="O9" s="845"/>
      <c r="P9" s="862"/>
      <c r="Q9" s="863"/>
      <c r="R9" s="865"/>
      <c r="S9" s="866"/>
    </row>
    <row r="10" spans="1:22" ht="26">
      <c r="A10" s="1163"/>
      <c r="B10" s="867" t="s">
        <v>268</v>
      </c>
      <c r="C10" s="861"/>
      <c r="D10" s="868"/>
      <c r="E10" s="869"/>
      <c r="F10" s="870"/>
      <c r="G10" s="871"/>
      <c r="H10" s="869"/>
      <c r="I10" s="872"/>
      <c r="J10" s="869"/>
      <c r="K10" s="869"/>
      <c r="L10" s="873"/>
      <c r="M10" s="869"/>
      <c r="N10" s="869"/>
      <c r="O10" s="874"/>
      <c r="P10" s="875"/>
      <c r="Q10" s="869"/>
      <c r="R10" s="876"/>
      <c r="S10" s="877"/>
      <c r="T10" s="631"/>
    </row>
    <row r="11" spans="1:22" ht="19">
      <c r="A11" s="1163"/>
      <c r="B11" s="860" t="s">
        <v>309</v>
      </c>
      <c r="C11" s="861"/>
      <c r="D11" s="878">
        <v>0</v>
      </c>
      <c r="E11" s="879">
        <f>D11/S11</f>
        <v>0</v>
      </c>
      <c r="F11" s="880"/>
      <c r="G11" s="878">
        <v>0</v>
      </c>
      <c r="H11" s="879">
        <f>G11/S11</f>
        <v>0</v>
      </c>
      <c r="I11" s="872"/>
      <c r="J11" s="878">
        <f>'[1]1. SCFF College Data  (2)'!J59</f>
        <v>104023338.79855707</v>
      </c>
      <c r="K11" s="879">
        <f>IFERROR(J11/S11, 0)</f>
        <v>0.51148273630013197</v>
      </c>
      <c r="L11" s="881"/>
      <c r="M11" s="878">
        <f>'[1]1. SCFF College Data  (2)'!N59</f>
        <v>62186971.954828009</v>
      </c>
      <c r="N11" s="879">
        <f>IFERROR(M11/S11, 0)</f>
        <v>0.30577332880336472</v>
      </c>
      <c r="O11" s="874"/>
      <c r="P11" s="878">
        <f>'[1]1. SCFF College Data  (2)'!R59</f>
        <v>37165739.728829846</v>
      </c>
      <c r="Q11" s="879">
        <f>IFERROR(P11/S11, 0)</f>
        <v>0.18274393489650326</v>
      </c>
      <c r="R11" s="876"/>
      <c r="S11" s="878">
        <f>'[1]1. SCFF College Data  (2)'!V59</f>
        <v>203376050.48221493</v>
      </c>
      <c r="T11" s="631"/>
      <c r="V11" s="627" t="s">
        <v>264</v>
      </c>
    </row>
    <row r="12" spans="1:22" ht="19">
      <c r="A12" s="1163"/>
      <c r="B12" s="860" t="s">
        <v>310</v>
      </c>
      <c r="C12" s="861"/>
      <c r="D12" s="878">
        <v>0</v>
      </c>
      <c r="E12" s="879">
        <f t="shared" ref="E12:E13" si="0">D12/S12</f>
        <v>0</v>
      </c>
      <c r="F12" s="880"/>
      <c r="G12" s="878">
        <f>'[1]2. Unrestricted Revenue (2)'!E50</f>
        <v>0</v>
      </c>
      <c r="H12" s="879">
        <f t="shared" ref="H12:H13" si="1">G12/S12</f>
        <v>0</v>
      </c>
      <c r="I12" s="872"/>
      <c r="J12" s="878">
        <f>'[1]2. Unrestricted Revenue (2)'!G53</f>
        <v>4831224.1494000005</v>
      </c>
      <c r="K12" s="879">
        <f>IFERROR(J12/S12, 0)</f>
        <v>0.51631479585244577</v>
      </c>
      <c r="L12" s="873"/>
      <c r="M12" s="878">
        <f>'[1]2. Unrestricted Revenue (2)'!J53</f>
        <v>2859252.4103999999</v>
      </c>
      <c r="N12" s="879">
        <f>IFERROR(M12/S12, 0)</f>
        <v>0.30556941241271762</v>
      </c>
      <c r="O12" s="874"/>
      <c r="P12" s="878">
        <f>'[1]2. Unrestricted Revenue (2)'!M53</f>
        <v>1666652.4401999998</v>
      </c>
      <c r="Q12" s="879">
        <f>IFERROR(P12/S12, 0)</f>
        <v>0.1781157917348366</v>
      </c>
      <c r="R12" s="876"/>
      <c r="S12" s="878">
        <f>Coast_Unrestricted_Total</f>
        <v>9357129</v>
      </c>
      <c r="T12" s="631"/>
      <c r="V12" s="627"/>
    </row>
    <row r="13" spans="1:22" ht="19">
      <c r="A13" s="1163"/>
      <c r="B13" s="882" t="s">
        <v>311</v>
      </c>
      <c r="C13" s="883"/>
      <c r="D13" s="884">
        <f>SUM(D11:D12)</f>
        <v>0</v>
      </c>
      <c r="E13" s="885">
        <f t="shared" si="0"/>
        <v>0</v>
      </c>
      <c r="F13" s="886"/>
      <c r="G13" s="884">
        <f>SUM(G11:G12)</f>
        <v>0</v>
      </c>
      <c r="H13" s="885">
        <f t="shared" si="1"/>
        <v>0</v>
      </c>
      <c r="I13" s="887"/>
      <c r="J13" s="888">
        <f>SUM(J11:J12)</f>
        <v>108854562.94795707</v>
      </c>
      <c r="K13" s="885">
        <f>IFERROR(J13/S13, 0)</f>
        <v>0.51169527580467344</v>
      </c>
      <c r="L13" s="889"/>
      <c r="M13" s="888">
        <f>SUM(M11:M12)</f>
        <v>65046224.365228012</v>
      </c>
      <c r="N13" s="885">
        <f>IFERROR(M13/S13, 0)</f>
        <v>0.30576435948331254</v>
      </c>
      <c r="O13" s="890"/>
      <c r="P13" s="888">
        <f>SUM(P11:P12)</f>
        <v>38832392.169029847</v>
      </c>
      <c r="Q13" s="885">
        <f>IFERROR(P13/S13, 0)</f>
        <v>0.18254036471201401</v>
      </c>
      <c r="R13" s="891"/>
      <c r="S13" s="888">
        <f>SUM(S11:S12)</f>
        <v>212733179.48221493</v>
      </c>
      <c r="T13" s="631"/>
      <c r="V13" s="627"/>
    </row>
    <row r="14" spans="1:22" ht="19">
      <c r="A14" s="1163"/>
      <c r="B14" s="892"/>
      <c r="C14" s="861"/>
      <c r="D14" s="878"/>
      <c r="E14" s="879"/>
      <c r="F14" s="880"/>
      <c r="G14" s="878"/>
      <c r="H14" s="879"/>
      <c r="I14" s="872"/>
      <c r="J14" s="893"/>
      <c r="K14" s="894"/>
      <c r="L14" s="873"/>
      <c r="M14" s="893"/>
      <c r="N14" s="894"/>
      <c r="O14" s="874"/>
      <c r="P14" s="893"/>
      <c r="Q14" s="894"/>
      <c r="R14" s="876"/>
      <c r="S14" s="893"/>
      <c r="T14" s="631"/>
      <c r="V14" s="627"/>
    </row>
    <row r="15" spans="1:22" ht="19">
      <c r="A15" s="1163"/>
      <c r="B15" s="895"/>
      <c r="C15" s="861"/>
      <c r="D15" s="896"/>
      <c r="E15" s="869"/>
      <c r="F15" s="870"/>
      <c r="G15" s="877"/>
      <c r="H15" s="869"/>
      <c r="I15" s="872"/>
      <c r="J15" s="897"/>
      <c r="K15" s="898"/>
      <c r="L15" s="873"/>
      <c r="M15" s="897"/>
      <c r="N15" s="898"/>
      <c r="O15" s="874"/>
      <c r="P15" s="897"/>
      <c r="Q15" s="898"/>
      <c r="R15" s="876"/>
      <c r="S15" s="899"/>
      <c r="T15" s="631"/>
      <c r="V15" s="627"/>
    </row>
    <row r="16" spans="1:22" ht="19">
      <c r="A16" s="1163"/>
      <c r="B16" s="860" t="s">
        <v>312</v>
      </c>
      <c r="C16" s="861"/>
      <c r="D16" s="878">
        <f>'[1]2. Unrestricted Revenue (2)'!D53</f>
        <v>0</v>
      </c>
      <c r="E16" s="900">
        <f>D16/G16</f>
        <v>0</v>
      </c>
      <c r="F16" s="901"/>
      <c r="G16" s="902">
        <f>S13*H16</f>
        <v>29782645.127510093</v>
      </c>
      <c r="H16" s="900">
        <v>0.14000000000000001</v>
      </c>
      <c r="I16" s="872"/>
      <c r="J16" s="878">
        <f>-(G16*K16)</f>
        <v>-15239638.81271399</v>
      </c>
      <c r="K16" s="879">
        <f>K13</f>
        <v>0.51169527580467344</v>
      </c>
      <c r="L16" s="873"/>
      <c r="M16" s="878">
        <f>-(G16*N16)</f>
        <v>-9106471.4111319222</v>
      </c>
      <c r="N16" s="879">
        <f>N13</f>
        <v>0.30576435948331254</v>
      </c>
      <c r="O16" s="874"/>
      <c r="P16" s="878">
        <f>-(G16*Q16)</f>
        <v>-5436534.9036641791</v>
      </c>
      <c r="Q16" s="879">
        <f>Q13</f>
        <v>0.18254036471201401</v>
      </c>
      <c r="R16" s="876"/>
      <c r="S16" s="878">
        <f>SUM(D16:G16, J16, M16, P16)</f>
        <v>0</v>
      </c>
      <c r="T16" s="631"/>
      <c r="V16" s="629" t="s">
        <v>219</v>
      </c>
    </row>
    <row r="17" spans="1:22" ht="19">
      <c r="A17" s="1163"/>
      <c r="B17" s="882" t="s">
        <v>311</v>
      </c>
      <c r="C17" s="883"/>
      <c r="D17" s="903">
        <f>SUM(D13, D16)</f>
        <v>0</v>
      </c>
      <c r="E17" s="904">
        <f>D17/G17</f>
        <v>0</v>
      </c>
      <c r="F17" s="905"/>
      <c r="G17" s="906">
        <f>SUM(G13, G16)</f>
        <v>29782645.127510093</v>
      </c>
      <c r="H17" s="904">
        <f>IFERROR(G17/S17, 0)</f>
        <v>0.14000000000000001</v>
      </c>
      <c r="I17" s="887"/>
      <c r="J17" s="888">
        <f>SUM(J13, J16)</f>
        <v>93614924.135243073</v>
      </c>
      <c r="K17" s="885">
        <f>IFERROR(J17/S17, 0)</f>
        <v>0.44005793719201913</v>
      </c>
      <c r="L17" s="889"/>
      <c r="M17" s="888">
        <f>SUM(M13, M16)</f>
        <v>55939752.954096094</v>
      </c>
      <c r="N17" s="885">
        <f>IFERROR(M17/S17, 0)</f>
        <v>0.26295734915564878</v>
      </c>
      <c r="O17" s="890"/>
      <c r="P17" s="888">
        <f>SUM(P13, P16)</f>
        <v>33395857.265365668</v>
      </c>
      <c r="Q17" s="885">
        <f>IFERROR(P17/S17, 0)</f>
        <v>0.15698471365233205</v>
      </c>
      <c r="R17" s="907"/>
      <c r="S17" s="888">
        <f>SUM(S13, S16)</f>
        <v>212733179.48221493</v>
      </c>
      <c r="T17" s="632"/>
      <c r="V17" s="629"/>
    </row>
    <row r="18" spans="1:22" ht="19">
      <c r="A18" s="1163"/>
      <c r="B18" s="892"/>
      <c r="C18" s="908"/>
      <c r="D18" s="909"/>
      <c r="E18" s="910"/>
      <c r="F18" s="911"/>
      <c r="G18" s="912"/>
      <c r="H18" s="910"/>
      <c r="I18" s="872"/>
      <c r="J18" s="913"/>
      <c r="K18" s="894"/>
      <c r="L18" s="873"/>
      <c r="M18" s="913"/>
      <c r="N18" s="894"/>
      <c r="O18" s="874"/>
      <c r="P18" s="913"/>
      <c r="Q18" s="894"/>
      <c r="R18" s="914"/>
      <c r="S18" s="913"/>
      <c r="T18" s="632"/>
      <c r="V18" s="629"/>
    </row>
    <row r="19" spans="1:22" ht="19">
      <c r="A19" s="1163"/>
      <c r="B19" s="895"/>
      <c r="C19" s="861"/>
      <c r="D19" s="896"/>
      <c r="E19" s="915"/>
      <c r="F19" s="916"/>
      <c r="G19" s="917"/>
      <c r="H19" s="915"/>
      <c r="I19" s="872"/>
      <c r="J19" s="897"/>
      <c r="K19" s="898"/>
      <c r="L19" s="873"/>
      <c r="M19" s="897"/>
      <c r="N19" s="898"/>
      <c r="O19" s="874"/>
      <c r="P19" s="897"/>
      <c r="Q19" s="898"/>
      <c r="R19" s="876"/>
      <c r="S19" s="899"/>
      <c r="T19" s="632"/>
      <c r="V19" s="629"/>
    </row>
    <row r="20" spans="1:22" ht="27" thickBot="1">
      <c r="A20" s="1163"/>
      <c r="B20" s="918" t="s">
        <v>266</v>
      </c>
      <c r="C20" s="919"/>
      <c r="D20" s="919"/>
      <c r="E20" s="919"/>
      <c r="F20" s="919"/>
      <c r="G20" s="920"/>
      <c r="H20" s="920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632"/>
      <c r="V20" s="627" t="s">
        <v>276</v>
      </c>
    </row>
    <row r="21" spans="1:22" ht="26">
      <c r="A21" s="1163"/>
      <c r="B21" s="867"/>
      <c r="T21" s="632"/>
      <c r="V21" s="627"/>
    </row>
    <row r="22" spans="1:22" ht="19">
      <c r="A22" s="1163"/>
      <c r="B22" s="869" t="s">
        <v>313</v>
      </c>
      <c r="C22" s="908"/>
      <c r="D22" s="730"/>
      <c r="E22" s="900">
        <f>IFERROR(D22/S22, 0)</f>
        <v>0</v>
      </c>
      <c r="F22" s="901"/>
      <c r="G22" s="730">
        <f>'[1]4. Expenditures (2)'!F30</f>
        <v>26114063</v>
      </c>
      <c r="H22" s="900">
        <f>IFERROR(G22/S22, 0)</f>
        <v>-1</v>
      </c>
      <c r="I22" s="872"/>
      <c r="J22" s="745">
        <f>'[1]4. Expenditures (2)'!H30</f>
        <v>0</v>
      </c>
      <c r="K22" s="900">
        <f>IFERROR(J22/S22, 0)</f>
        <v>0</v>
      </c>
      <c r="L22" s="921"/>
      <c r="M22" s="745">
        <f>'[1]4. Expenditures (2)'!K30</f>
        <v>0</v>
      </c>
      <c r="N22" s="900">
        <f>IFERROR(M22/S22, 0)</f>
        <v>0</v>
      </c>
      <c r="O22" s="922"/>
      <c r="P22" s="745">
        <f>'[1]4. Expenditures (2)'!N30</f>
        <v>0</v>
      </c>
      <c r="Q22" s="900">
        <f>IFERROR(P22/S22, 0)</f>
        <v>0</v>
      </c>
      <c r="R22" s="923"/>
      <c r="S22" s="748">
        <f>-G22</f>
        <v>-26114063</v>
      </c>
      <c r="T22" s="632"/>
      <c r="V22" s="627"/>
    </row>
    <row r="23" spans="1:22" s="53" customFormat="1" ht="19">
      <c r="A23" s="1163"/>
      <c r="B23" s="882" t="s">
        <v>314</v>
      </c>
      <c r="C23" s="883"/>
      <c r="D23" s="906"/>
      <c r="E23" s="904">
        <f>IFERROR(D23/S23, 0)</f>
        <v>0</v>
      </c>
      <c r="F23" s="924"/>
      <c r="G23" s="906">
        <f>G17-G22</f>
        <v>3668582.1275100932</v>
      </c>
      <c r="H23" s="885">
        <f>IFERROR(G23/S23, 0)</f>
        <v>0</v>
      </c>
      <c r="I23" s="887"/>
      <c r="J23" s="888">
        <f>J22</f>
        <v>0</v>
      </c>
      <c r="K23" s="885">
        <f>IFERROR(J23/S23, 0)</f>
        <v>0</v>
      </c>
      <c r="L23" s="889"/>
      <c r="M23" s="888">
        <f>M22</f>
        <v>0</v>
      </c>
      <c r="N23" s="885">
        <f>IFERROR(M23/S23, 0)</f>
        <v>0</v>
      </c>
      <c r="O23" s="890"/>
      <c r="P23" s="888">
        <f>P22</f>
        <v>0</v>
      </c>
      <c r="Q23" s="885">
        <f>IFERROR(P23/S23, 0)</f>
        <v>0</v>
      </c>
      <c r="R23" s="907"/>
      <c r="S23" s="888"/>
      <c r="T23" s="633"/>
      <c r="V23" s="628" t="s">
        <v>280</v>
      </c>
    </row>
    <row r="24" spans="1:22" ht="19">
      <c r="A24" s="1163"/>
      <c r="B24" s="895"/>
      <c r="C24" s="908"/>
      <c r="D24" s="896"/>
      <c r="E24" s="869"/>
      <c r="F24" s="870"/>
      <c r="G24" s="877"/>
      <c r="H24" s="869"/>
      <c r="I24" s="872"/>
      <c r="J24" s="897"/>
      <c r="K24" s="898"/>
      <c r="L24" s="873"/>
      <c r="M24" s="897"/>
      <c r="N24" s="898"/>
      <c r="O24" s="874"/>
      <c r="P24" s="897"/>
      <c r="Q24" s="898"/>
      <c r="R24" s="876"/>
      <c r="S24" s="899"/>
      <c r="T24" s="631"/>
      <c r="V24" s="629"/>
    </row>
    <row r="25" spans="1:22" ht="19">
      <c r="A25" s="1163"/>
      <c r="B25" s="860" t="s">
        <v>315</v>
      </c>
      <c r="C25" s="861"/>
      <c r="D25" s="878">
        <f>'[1]4. Expenditures (2)'!E30</f>
        <v>21571089</v>
      </c>
      <c r="E25" s="900">
        <f>IFERROR(D25/S17, 0)</f>
        <v>0.10139973958224698</v>
      </c>
      <c r="F25" s="901"/>
      <c r="G25" s="917">
        <f>-(D25*H25)</f>
        <v>-3019952.4600000004</v>
      </c>
      <c r="H25" s="900">
        <f>H17</f>
        <v>0.14000000000000001</v>
      </c>
      <c r="I25" s="872"/>
      <c r="J25" s="878">
        <f>-(D25*K25)</f>
        <v>-9492528.9283254556</v>
      </c>
      <c r="K25" s="879">
        <f>K17</f>
        <v>0.44005793719201913</v>
      </c>
      <c r="L25" s="873"/>
      <c r="M25" s="878">
        <f>-(D25*N25)</f>
        <v>-5672276.3818405746</v>
      </c>
      <c r="N25" s="879">
        <f>N17</f>
        <v>0.26295734915564878</v>
      </c>
      <c r="O25" s="874"/>
      <c r="P25" s="878">
        <f>-(D25*Q25)</f>
        <v>-3386331.2298339698</v>
      </c>
      <c r="Q25" s="879">
        <f>Q17</f>
        <v>0.15698471365233205</v>
      </c>
      <c r="R25" s="876"/>
      <c r="S25" s="878">
        <f>-D25</f>
        <v>-21571089</v>
      </c>
      <c r="T25" s="631"/>
      <c r="V25" s="629"/>
    </row>
    <row r="26" spans="1:22" ht="19">
      <c r="A26" s="1163"/>
      <c r="B26" s="892"/>
      <c r="C26" s="908"/>
      <c r="D26" s="925"/>
      <c r="E26" s="910"/>
      <c r="F26" s="911"/>
      <c r="G26" s="926"/>
      <c r="H26" s="910"/>
      <c r="I26" s="927"/>
      <c r="J26" s="928"/>
      <c r="K26" s="910"/>
      <c r="L26" s="929"/>
      <c r="M26" s="930"/>
      <c r="N26" s="910"/>
      <c r="O26" s="931"/>
      <c r="P26" s="930"/>
      <c r="Q26" s="910"/>
      <c r="R26" s="932"/>
      <c r="S26" s="928"/>
      <c r="T26" s="634"/>
      <c r="V26" s="629"/>
    </row>
    <row r="27" spans="1:22" s="526" customFormat="1" ht="19">
      <c r="A27" s="933"/>
      <c r="B27" s="934"/>
      <c r="C27" s="908"/>
      <c r="D27" s="892"/>
      <c r="E27" s="915"/>
      <c r="F27" s="916"/>
      <c r="G27" s="935"/>
      <c r="H27" s="915"/>
      <c r="I27" s="872"/>
      <c r="J27" s="935"/>
      <c r="K27" s="915"/>
      <c r="L27" s="873"/>
      <c r="M27" s="935"/>
      <c r="N27" s="935"/>
      <c r="O27" s="874"/>
      <c r="P27" s="935"/>
      <c r="Q27" s="935"/>
      <c r="R27" s="923"/>
      <c r="S27" s="936"/>
      <c r="T27" s="937"/>
      <c r="V27" s="630"/>
    </row>
    <row r="28" spans="1:22" s="526" customFormat="1" ht="19">
      <c r="A28" s="685"/>
      <c r="B28" s="882" t="s">
        <v>311</v>
      </c>
      <c r="C28" s="938"/>
      <c r="D28" s="790"/>
      <c r="E28" s="939">
        <f>IFERROR(D28/D17,0)</f>
        <v>0</v>
      </c>
      <c r="F28" s="940"/>
      <c r="G28" s="941">
        <f>G23+G25</f>
        <v>648629.66751009272</v>
      </c>
      <c r="H28" s="939">
        <f>G28/G17</f>
        <v>2.1778779713255102E-2</v>
      </c>
      <c r="I28" s="942"/>
      <c r="J28" s="943">
        <f>J17+J25</f>
        <v>84122395.206917614</v>
      </c>
      <c r="K28" s="939">
        <f>J28/J13</f>
        <v>0.7727962239592675</v>
      </c>
      <c r="L28" s="944"/>
      <c r="M28" s="943">
        <f>M17+M25</f>
        <v>50267476.572255522</v>
      </c>
      <c r="N28" s="939">
        <f>M28/M13</f>
        <v>0.77279622395926773</v>
      </c>
      <c r="O28" s="945"/>
      <c r="P28" s="943">
        <f>P17+P25</f>
        <v>30009526.0355317</v>
      </c>
      <c r="Q28" s="939">
        <f>P28/P13</f>
        <v>0.77279622395926761</v>
      </c>
      <c r="R28" s="946"/>
      <c r="S28" s="775">
        <f>S17+S22+S25</f>
        <v>165048027.48221493</v>
      </c>
      <c r="T28" s="634"/>
      <c r="U28" s="134"/>
      <c r="V28" s="630"/>
    </row>
    <row r="29" spans="1:22" s="53" customFormat="1" ht="16" thickBot="1">
      <c r="A29" s="602"/>
      <c r="B29"/>
      <c r="C29"/>
      <c r="D29"/>
      <c r="E29"/>
      <c r="F29"/>
      <c r="G29"/>
      <c r="H29"/>
      <c r="I29" s="28"/>
      <c r="J29" s="448"/>
      <c r="K29" s="947"/>
      <c r="L29" s="832"/>
      <c r="O29"/>
      <c r="R29" s="336"/>
    </row>
    <row r="30" spans="1:22" ht="19">
      <c r="A30" s="1114"/>
      <c r="B30" s="733"/>
      <c r="C30" s="948"/>
      <c r="D30" s="676"/>
      <c r="E30" s="949"/>
      <c r="F30" s="950"/>
      <c r="G30" s="676"/>
      <c r="H30" s="949"/>
      <c r="I30" s="951"/>
      <c r="J30" s="677"/>
      <c r="K30" s="952"/>
      <c r="L30" s="953"/>
      <c r="M30" s="677"/>
      <c r="N30" s="952"/>
      <c r="O30" s="954"/>
      <c r="P30" s="677"/>
      <c r="Q30" s="952"/>
      <c r="R30" s="955"/>
      <c r="S30" s="678"/>
      <c r="V30" s="627" t="s">
        <v>281</v>
      </c>
    </row>
    <row r="31" spans="1:22" ht="26">
      <c r="A31" s="1163"/>
      <c r="B31" s="956" t="s">
        <v>316</v>
      </c>
      <c r="C31" s="908"/>
      <c r="D31" s="679"/>
      <c r="E31" s="957"/>
      <c r="F31" s="870"/>
      <c r="G31" s="668"/>
      <c r="H31" s="957"/>
      <c r="I31" s="872"/>
      <c r="J31" s="727"/>
      <c r="K31" s="958"/>
      <c r="L31" s="873"/>
      <c r="M31" s="727"/>
      <c r="N31" s="958"/>
      <c r="O31" s="874"/>
      <c r="P31" s="727"/>
      <c r="Q31" s="958"/>
      <c r="R31" s="876"/>
      <c r="S31" s="729"/>
      <c r="V31" s="627"/>
    </row>
    <row r="32" spans="1:22" ht="19">
      <c r="A32" s="1163"/>
      <c r="B32" s="869" t="s">
        <v>317</v>
      </c>
      <c r="C32" s="908"/>
      <c r="D32" s="785"/>
      <c r="E32" s="869"/>
      <c r="F32" s="870"/>
      <c r="G32" s="787"/>
      <c r="H32" s="869"/>
      <c r="I32" s="872"/>
      <c r="J32" s="788"/>
      <c r="K32" s="898"/>
      <c r="L32" s="873"/>
      <c r="M32" s="788">
        <v>0</v>
      </c>
      <c r="N32" s="898"/>
      <c r="O32" s="874"/>
      <c r="P32" s="788">
        <f>-M32</f>
        <v>0</v>
      </c>
      <c r="Q32" s="898"/>
      <c r="R32" s="876"/>
      <c r="S32" s="663">
        <f>SUM(D32, G32, J32, M32, P32)</f>
        <v>0</v>
      </c>
      <c r="V32" s="627"/>
    </row>
    <row r="33" spans="1:22" ht="19">
      <c r="A33" s="1163"/>
      <c r="B33" s="860" t="s">
        <v>317</v>
      </c>
      <c r="C33" s="908"/>
      <c r="D33" s="785"/>
      <c r="E33" s="869"/>
      <c r="F33" s="870"/>
      <c r="G33" s="787"/>
      <c r="H33" s="869"/>
      <c r="I33" s="872"/>
      <c r="J33" s="788">
        <v>0</v>
      </c>
      <c r="K33" s="898"/>
      <c r="L33" s="881"/>
      <c r="M33" s="788"/>
      <c r="N33" s="898"/>
      <c r="O33" s="874"/>
      <c r="P33" s="788">
        <f>-J33</f>
        <v>0</v>
      </c>
      <c r="Q33" s="898"/>
      <c r="R33" s="876"/>
      <c r="S33" s="663">
        <f t="shared" ref="S33:S36" si="2">SUM(D33, G33, J33, M33, P33)</f>
        <v>0</v>
      </c>
      <c r="V33" s="627"/>
    </row>
    <row r="34" spans="1:22" ht="19">
      <c r="A34" s="1163"/>
      <c r="B34" s="860" t="s">
        <v>317</v>
      </c>
      <c r="C34" s="908"/>
      <c r="D34" s="730"/>
      <c r="E34" s="900"/>
      <c r="F34" s="901"/>
      <c r="G34" s="730">
        <v>0</v>
      </c>
      <c r="H34" s="900"/>
      <c r="I34" s="872"/>
      <c r="J34" s="745">
        <v>0</v>
      </c>
      <c r="K34" s="900"/>
      <c r="L34" s="921"/>
      <c r="M34" s="745"/>
      <c r="N34" s="900"/>
      <c r="O34" s="922"/>
      <c r="P34" s="745">
        <v>0</v>
      </c>
      <c r="Q34" s="900"/>
      <c r="R34" s="923"/>
      <c r="S34" s="663">
        <f t="shared" si="2"/>
        <v>0</v>
      </c>
      <c r="V34" s="627"/>
    </row>
    <row r="35" spans="1:22" ht="19">
      <c r="A35" s="1163"/>
      <c r="B35" s="860" t="s">
        <v>317</v>
      </c>
      <c r="C35" s="908"/>
      <c r="D35" s="730"/>
      <c r="E35" s="900"/>
      <c r="F35" s="901"/>
      <c r="G35" s="730">
        <v>0</v>
      </c>
      <c r="H35" s="900"/>
      <c r="I35" s="872"/>
      <c r="J35" s="745">
        <v>0</v>
      </c>
      <c r="K35" s="900"/>
      <c r="L35" s="921"/>
      <c r="M35" s="745">
        <v>0</v>
      </c>
      <c r="N35" s="900"/>
      <c r="O35" s="922"/>
      <c r="P35" s="745">
        <v>0</v>
      </c>
      <c r="Q35" s="900"/>
      <c r="R35" s="923"/>
      <c r="S35" s="663">
        <f t="shared" si="2"/>
        <v>0</v>
      </c>
      <c r="V35" s="627"/>
    </row>
    <row r="36" spans="1:22" ht="19">
      <c r="A36" s="1163"/>
      <c r="B36" s="882" t="s">
        <v>288</v>
      </c>
      <c r="C36" s="883"/>
      <c r="D36" s="906"/>
      <c r="E36" s="820"/>
      <c r="F36" s="924"/>
      <c r="G36" s="804">
        <f>SUM(G32:G35)</f>
        <v>0</v>
      </c>
      <c r="H36" s="885"/>
      <c r="I36" s="959"/>
      <c r="J36" s="807">
        <f>SUM(J32:J35)</f>
        <v>0</v>
      </c>
      <c r="K36" s="885"/>
      <c r="L36" s="889"/>
      <c r="M36" s="807">
        <f>SUM(M32:M35)</f>
        <v>0</v>
      </c>
      <c r="N36" s="885"/>
      <c r="O36" s="960"/>
      <c r="P36" s="807">
        <f>SUM(P32:P35)</f>
        <v>0</v>
      </c>
      <c r="Q36" s="885"/>
      <c r="R36" s="907"/>
      <c r="S36" s="812">
        <f t="shared" si="2"/>
        <v>0</v>
      </c>
      <c r="V36" s="627"/>
    </row>
    <row r="37" spans="1:22" ht="20" thickBot="1">
      <c r="A37" s="1116"/>
      <c r="B37" s="749"/>
      <c r="C37" s="961"/>
      <c r="D37" s="751"/>
      <c r="E37" s="962"/>
      <c r="F37" s="911"/>
      <c r="G37" s="754"/>
      <c r="H37" s="962"/>
      <c r="I37" s="963"/>
      <c r="J37" s="756"/>
      <c r="K37" s="962"/>
      <c r="L37" s="964"/>
      <c r="M37" s="965"/>
      <c r="N37" s="962"/>
      <c r="O37" s="966"/>
      <c r="P37" s="965"/>
      <c r="Q37" s="962"/>
      <c r="R37" s="967"/>
      <c r="S37" s="760"/>
      <c r="V37" s="627"/>
    </row>
    <row r="38" spans="1:22" ht="19">
      <c r="A38" s="683"/>
      <c r="B38" s="761"/>
      <c r="C38" s="968"/>
      <c r="D38" s="762"/>
      <c r="E38" s="969"/>
      <c r="F38" s="916"/>
      <c r="G38" s="765"/>
      <c r="H38" s="969"/>
      <c r="I38" s="951"/>
      <c r="J38" s="765"/>
      <c r="K38" s="969"/>
      <c r="L38" s="953"/>
      <c r="M38" s="765"/>
      <c r="N38" s="765"/>
      <c r="O38" s="954"/>
      <c r="P38" s="765"/>
      <c r="Q38" s="765"/>
      <c r="R38" s="970"/>
      <c r="S38" s="766"/>
    </row>
    <row r="39" spans="1:22" ht="19">
      <c r="A39" s="685"/>
      <c r="B39" s="767" t="s">
        <v>318</v>
      </c>
      <c r="C39" s="938"/>
      <c r="D39" s="941">
        <f>D28+D36</f>
        <v>0</v>
      </c>
      <c r="E39" s="939">
        <f>IFERROR(D39/D17,0)</f>
        <v>0</v>
      </c>
      <c r="F39" s="940"/>
      <c r="G39" s="941">
        <f>G28+G36</f>
        <v>648629.66751009272</v>
      </c>
      <c r="H39" s="939">
        <f>G39/G17</f>
        <v>2.1778779713255102E-2</v>
      </c>
      <c r="I39" s="942"/>
      <c r="J39" s="943">
        <f>J28+J36</f>
        <v>84122395.206917614</v>
      </c>
      <c r="K39" s="939">
        <f>J39/J13</f>
        <v>0.7727962239592675</v>
      </c>
      <c r="L39" s="944"/>
      <c r="M39" s="943">
        <f>M28+M36</f>
        <v>50267476.572255522</v>
      </c>
      <c r="N39" s="939">
        <f>M39/M13</f>
        <v>0.77279622395926773</v>
      </c>
      <c r="O39" s="945"/>
      <c r="P39" s="943">
        <f>P28+P36</f>
        <v>30009526.0355317</v>
      </c>
      <c r="Q39" s="939">
        <f>P39/P13</f>
        <v>0.77279622395926761</v>
      </c>
      <c r="R39" s="946"/>
      <c r="S39" s="775">
        <f>SUM(D39,G39,J39,M39,P39)</f>
        <v>165048027.48221493</v>
      </c>
    </row>
    <row r="41" spans="1:22" ht="19">
      <c r="B41" t="s">
        <v>289</v>
      </c>
      <c r="J41" s="878"/>
      <c r="K41" s="879"/>
      <c r="L41" s="971"/>
      <c r="M41" s="878"/>
      <c r="N41" s="879"/>
      <c r="O41" s="863"/>
      <c r="P41" s="878"/>
      <c r="Q41" s="879"/>
      <c r="R41" s="869"/>
      <c r="S41" s="972"/>
    </row>
  </sheetData>
  <mergeCells count="13">
    <mergeCell ref="A2:H3"/>
    <mergeCell ref="J2:K2"/>
    <mergeCell ref="M2:N2"/>
    <mergeCell ref="P2:Q2"/>
    <mergeCell ref="S2:S3"/>
    <mergeCell ref="J3:K3"/>
    <mergeCell ref="M3:N3"/>
    <mergeCell ref="P3:Q3"/>
    <mergeCell ref="A5:B7"/>
    <mergeCell ref="S5:S7"/>
    <mergeCell ref="A9:A22"/>
    <mergeCell ref="A23:A26"/>
    <mergeCell ref="A30:A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2DCE-D2E3-4396-B879-C936F163F4C8}">
  <sheetPr>
    <tabColor rgb="FFEA4844"/>
  </sheetPr>
  <dimension ref="A1:EA94"/>
  <sheetViews>
    <sheetView topLeftCell="A20" workbookViewId="0">
      <selection activeCell="B33" sqref="A33:XFD33"/>
    </sheetView>
  </sheetViews>
  <sheetFormatPr baseColWidth="10" defaultColWidth="9.1640625" defaultRowHeight="14"/>
  <cols>
    <col min="1" max="1" width="1" style="973" customWidth="1"/>
    <col min="2" max="2" width="58" style="973" bestFit="1" customWidth="1"/>
    <col min="3" max="3" width="10.5" style="973" hidden="1" customWidth="1"/>
    <col min="4" max="4" width="22" style="1075" bestFit="1" customWidth="1"/>
    <col min="5" max="5" width="22.5" style="1075" hidden="1" customWidth="1"/>
    <col min="6" max="6" width="21.5" style="1075" hidden="1" customWidth="1"/>
    <col min="7" max="7" width="21" style="1075" bestFit="1" customWidth="1"/>
    <col min="8" max="8" width="21" style="1075" hidden="1" customWidth="1"/>
    <col min="9" max="9" width="20.5" style="1075" hidden="1" customWidth="1"/>
    <col min="10" max="10" width="21.1640625" style="1075" customWidth="1"/>
    <col min="11" max="11" width="25.6640625" style="1075" customWidth="1"/>
    <col min="12" max="12" width="22" style="1075" bestFit="1" customWidth="1"/>
    <col min="13" max="13" width="1" style="1075" customWidth="1"/>
    <col min="14" max="14" width="1.5" style="973" customWidth="1"/>
    <col min="15" max="15" width="15.83203125" style="973" hidden="1" customWidth="1"/>
    <col min="16" max="17" width="17.33203125" style="975" hidden="1" customWidth="1"/>
    <col min="18" max="22" width="15.83203125" style="975" hidden="1" customWidth="1"/>
    <col min="23" max="23" width="17.6640625" style="973" hidden="1" customWidth="1"/>
    <col min="24" max="24" width="15.83203125" style="973" hidden="1" customWidth="1"/>
    <col min="25" max="25" width="8.33203125" style="973" hidden="1" customWidth="1"/>
    <col min="26" max="16384" width="9.1640625" style="973"/>
  </cols>
  <sheetData>
    <row r="1" spans="1:25" ht="55.5" customHeight="1">
      <c r="B1" s="1165" t="s">
        <v>319</v>
      </c>
      <c r="C1" s="1165"/>
      <c r="D1" s="1165"/>
      <c r="E1" s="1165"/>
      <c r="F1" s="1165"/>
      <c r="G1" s="1165"/>
      <c r="H1" s="1165"/>
      <c r="I1" s="1165"/>
      <c r="J1" s="1165"/>
      <c r="K1" s="1165"/>
      <c r="L1" s="1165"/>
      <c r="M1" s="974"/>
      <c r="V1" s="1166" t="s">
        <v>320</v>
      </c>
      <c r="W1" s="1166"/>
    </row>
    <row r="2" spans="1:25" s="976" customFormat="1" ht="17">
      <c r="B2" s="977"/>
      <c r="D2" s="978"/>
      <c r="E2" s="978"/>
      <c r="F2" s="978"/>
      <c r="G2" s="978"/>
      <c r="H2" s="978"/>
      <c r="I2" s="978"/>
      <c r="J2" s="978"/>
      <c r="K2" s="978"/>
      <c r="L2" s="978"/>
      <c r="M2" s="978"/>
      <c r="O2" s="977" t="s">
        <v>321</v>
      </c>
      <c r="P2" s="979"/>
      <c r="Q2" s="979"/>
      <c r="R2" s="979"/>
      <c r="S2" s="979"/>
      <c r="T2" s="979"/>
      <c r="U2" s="979"/>
      <c r="V2" s="979"/>
    </row>
    <row r="3" spans="1:25" s="976" customFormat="1" ht="4.5" customHeight="1" thickBot="1">
      <c r="A3" s="980"/>
      <c r="B3" s="981"/>
      <c r="C3" s="980"/>
      <c r="D3" s="982"/>
      <c r="E3" s="982"/>
      <c r="F3" s="982"/>
      <c r="G3" s="982"/>
      <c r="H3" s="982"/>
      <c r="I3" s="982"/>
      <c r="J3" s="982"/>
      <c r="K3" s="982"/>
      <c r="L3" s="982"/>
      <c r="M3" s="982"/>
      <c r="O3" s="977"/>
      <c r="P3" s="979"/>
      <c r="Q3" s="979"/>
      <c r="R3" s="979"/>
      <c r="S3" s="979"/>
      <c r="T3" s="979"/>
      <c r="U3" s="979"/>
      <c r="V3" s="979"/>
    </row>
    <row r="4" spans="1:25" s="976" customFormat="1" ht="19" thickTop="1" thickBot="1">
      <c r="A4" s="980"/>
      <c r="B4" s="983"/>
      <c r="C4" s="984"/>
      <c r="D4" s="985" t="s">
        <v>322</v>
      </c>
      <c r="E4" s="985" t="s">
        <v>322</v>
      </c>
      <c r="F4" s="985" t="s">
        <v>323</v>
      </c>
      <c r="G4" s="985" t="s">
        <v>324</v>
      </c>
      <c r="H4" s="985" t="s">
        <v>324</v>
      </c>
      <c r="I4" s="985" t="s">
        <v>325</v>
      </c>
      <c r="J4" s="985" t="s">
        <v>219</v>
      </c>
      <c r="K4" s="985" t="s">
        <v>326</v>
      </c>
      <c r="L4" s="986" t="s">
        <v>327</v>
      </c>
      <c r="M4" s="987"/>
      <c r="O4" s="988" t="s">
        <v>328</v>
      </c>
      <c r="P4" s="989" t="s">
        <v>329</v>
      </c>
      <c r="Q4" s="989" t="s">
        <v>330</v>
      </c>
      <c r="R4" s="989"/>
      <c r="S4" s="989" t="s">
        <v>331</v>
      </c>
      <c r="T4" s="989"/>
      <c r="U4" s="989" t="s">
        <v>332</v>
      </c>
      <c r="V4" s="989"/>
      <c r="W4" s="988" t="s">
        <v>15</v>
      </c>
    </row>
    <row r="5" spans="1:25" s="976" customFormat="1" ht="17">
      <c r="A5" s="980"/>
      <c r="B5" s="990" t="s">
        <v>333</v>
      </c>
      <c r="D5" s="978"/>
      <c r="E5" s="991"/>
      <c r="F5" s="991"/>
      <c r="G5" s="991"/>
      <c r="H5" s="991"/>
      <c r="I5" s="991"/>
      <c r="J5" s="978"/>
      <c r="K5" s="978"/>
      <c r="L5" s="992"/>
      <c r="M5" s="982"/>
      <c r="O5" s="976" t="s">
        <v>322</v>
      </c>
      <c r="P5" s="993">
        <f t="shared" ref="P5:P10" si="0">SUM(Q5+S5)</f>
        <v>14230.23</v>
      </c>
      <c r="Q5" s="979">
        <v>14230.23</v>
      </c>
      <c r="R5" s="994">
        <f>SUM(Q5/(Q5+Q6))</f>
        <v>0.69707063616586973</v>
      </c>
      <c r="S5" s="979"/>
      <c r="T5" s="994"/>
      <c r="U5" s="994">
        <f>SUM(P5+P7+P8)/P11</f>
        <v>0.69558951931323831</v>
      </c>
      <c r="V5" s="979"/>
      <c r="W5" s="995">
        <f t="shared" ref="W5:W10" si="1">SUM(Q5+S5+V5)</f>
        <v>14230.23</v>
      </c>
      <c r="X5" s="996">
        <f t="shared" ref="X5:X10" si="2">SUM(W5/$W$11)</f>
        <v>0.54977360356670957</v>
      </c>
      <c r="Y5" s="997">
        <f t="shared" ref="Y5:Y10" si="3">SUM(-8*X5)</f>
        <v>-4.3981888285336765</v>
      </c>
    </row>
    <row r="6" spans="1:25" s="976" customFormat="1" ht="17">
      <c r="A6" s="980"/>
      <c r="B6" s="998" t="s">
        <v>17</v>
      </c>
      <c r="C6" s="999"/>
      <c r="D6" s="978">
        <f>SUM(E6:F6)</f>
        <v>6529605</v>
      </c>
      <c r="E6" s="991">
        <v>5223684</v>
      </c>
      <c r="F6" s="991">
        <v>1305921</v>
      </c>
      <c r="G6" s="991">
        <f>SUM(H6:I6)</f>
        <v>5223682</v>
      </c>
      <c r="H6" s="991">
        <v>3917761</v>
      </c>
      <c r="I6" s="991">
        <v>1305921</v>
      </c>
      <c r="J6" s="978"/>
      <c r="K6" s="978"/>
      <c r="L6" s="992">
        <f>SUM(D6+G6)</f>
        <v>11753287</v>
      </c>
      <c r="M6" s="982"/>
      <c r="O6" s="976" t="s">
        <v>324</v>
      </c>
      <c r="P6" s="993">
        <f t="shared" si="0"/>
        <v>6184.1</v>
      </c>
      <c r="Q6" s="979">
        <v>6184.1</v>
      </c>
      <c r="R6" s="994">
        <f>SUM(Q6/(Q5+Q6))</f>
        <v>0.30292936383413022</v>
      </c>
      <c r="S6" s="979"/>
      <c r="T6" s="994"/>
      <c r="U6" s="994">
        <f>SUM(P6+P9+P10)/P11</f>
        <v>0.30441048068676158</v>
      </c>
      <c r="V6" s="979"/>
      <c r="W6" s="995">
        <f t="shared" si="1"/>
        <v>6184.1</v>
      </c>
      <c r="X6" s="996">
        <f t="shared" si="2"/>
        <v>0.2389177786878279</v>
      </c>
      <c r="Y6" s="997">
        <f t="shared" si="3"/>
        <v>-1.9113422295026232</v>
      </c>
    </row>
    <row r="7" spans="1:25" s="976" customFormat="1" ht="17">
      <c r="A7" s="980"/>
      <c r="B7" s="998" t="s">
        <v>334</v>
      </c>
      <c r="C7" s="999"/>
      <c r="D7" s="978">
        <f>SUM(E7:F7)</f>
        <v>74801833.923425838</v>
      </c>
      <c r="E7" s="991">
        <f>107880659*(69.337576%)*R41</f>
        <v>54944845.753578492</v>
      </c>
      <c r="F7" s="991">
        <f>107880659*(69.337576%)*S41</f>
        <v>19856988.169847347</v>
      </c>
      <c r="G7" s="991">
        <f>SUM(H7:I7)</f>
        <v>33078824.998654</v>
      </c>
      <c r="H7" s="991">
        <f>107880659*(30.662424%)*P41-1</f>
        <v>24497900.18497334</v>
      </c>
      <c r="I7" s="991">
        <f>107880659*(30.662424%)*Q41</f>
        <v>8580924.8136806618</v>
      </c>
      <c r="J7" s="978"/>
      <c r="K7" s="978"/>
      <c r="L7" s="992">
        <f>SUM(D7+G7)</f>
        <v>107880658.92207983</v>
      </c>
      <c r="M7" s="982"/>
      <c r="O7" s="976" t="s">
        <v>323</v>
      </c>
      <c r="P7" s="993">
        <f t="shared" si="0"/>
        <v>592.46</v>
      </c>
      <c r="Q7" s="979"/>
      <c r="R7" s="979"/>
      <c r="S7" s="979">
        <v>592.46</v>
      </c>
      <c r="T7" s="994">
        <f>SUM(S7/(S7+S9))</f>
        <v>0.63129069036430863</v>
      </c>
      <c r="U7" s="994"/>
      <c r="V7" s="979"/>
      <c r="W7" s="995">
        <f t="shared" si="1"/>
        <v>592.46</v>
      </c>
      <c r="X7" s="996">
        <f t="shared" si="2"/>
        <v>2.2889220284502274E-2</v>
      </c>
      <c r="Y7" s="997">
        <f t="shared" si="3"/>
        <v>-0.18311376227601819</v>
      </c>
    </row>
    <row r="8" spans="1:25" s="976" customFormat="1" ht="17">
      <c r="A8" s="980"/>
      <c r="B8" s="998" t="s">
        <v>335</v>
      </c>
      <c r="D8" s="978">
        <f>SUM(E8:F8)</f>
        <v>18424233.849107198</v>
      </c>
      <c r="E8" s="991">
        <f>SUM(25290880)*(72.849319%)</f>
        <v>18424233.849107198</v>
      </c>
      <c r="F8" s="991">
        <f>(0*(S7/P11))+(0*(S8/P11))</f>
        <v>0</v>
      </c>
      <c r="G8" s="991">
        <f>SUM(H8:I8)</f>
        <v>6866646.1508927997</v>
      </c>
      <c r="H8" s="991">
        <f>(25290880*27.150681%)</f>
        <v>6866646.1508927997</v>
      </c>
      <c r="I8" s="991">
        <f>(0*(S9/P11))+(0*(S10/P11))</f>
        <v>0</v>
      </c>
      <c r="J8" s="978"/>
      <c r="K8" s="978"/>
      <c r="L8" s="992">
        <f>SUM(D8+G8)</f>
        <v>25290880</v>
      </c>
      <c r="M8" s="982"/>
      <c r="O8" s="976" t="s">
        <v>336</v>
      </c>
      <c r="P8" s="993">
        <f t="shared" si="0"/>
        <v>3181.81</v>
      </c>
      <c r="Q8" s="979"/>
      <c r="R8" s="979"/>
      <c r="S8" s="979">
        <v>3181.81</v>
      </c>
      <c r="T8" s="994">
        <f>SUM(S8/(S8+S10))</f>
        <v>0.70223439520810071</v>
      </c>
      <c r="U8" s="994"/>
      <c r="V8" s="979"/>
      <c r="W8" s="995">
        <f t="shared" si="1"/>
        <v>3181.81</v>
      </c>
      <c r="X8" s="996">
        <f t="shared" si="2"/>
        <v>0.12292669546202642</v>
      </c>
      <c r="Y8" s="997">
        <f t="shared" si="3"/>
        <v>-0.98341356369621136</v>
      </c>
    </row>
    <row r="9" spans="1:25" s="976" customFormat="1" ht="17">
      <c r="A9" s="980"/>
      <c r="B9" s="998" t="s">
        <v>337</v>
      </c>
      <c r="C9" s="999"/>
      <c r="D9" s="978">
        <f>SUM(E9+F9)</f>
        <v>12933543.563258499</v>
      </c>
      <c r="E9" s="978">
        <f>19926062*64.907675%</f>
        <v>12933543.563258499</v>
      </c>
      <c r="F9" s="978">
        <f>0</f>
        <v>0</v>
      </c>
      <c r="G9" s="991">
        <f>SUM(H9+I9)</f>
        <v>6992518.4367415002</v>
      </c>
      <c r="H9" s="978">
        <f>19926062*35.092325%</f>
        <v>6992518.4367415002</v>
      </c>
      <c r="I9" s="978">
        <f>0</f>
        <v>0</v>
      </c>
      <c r="J9" s="978"/>
      <c r="K9" s="978"/>
      <c r="L9" s="992">
        <f>SUM(D9+G9)</f>
        <v>19926062</v>
      </c>
      <c r="M9" s="982"/>
      <c r="O9" s="976" t="s">
        <v>325</v>
      </c>
      <c r="P9" s="993">
        <f t="shared" si="0"/>
        <v>346.03</v>
      </c>
      <c r="Q9" s="979"/>
      <c r="R9" s="979"/>
      <c r="S9" s="979">
        <f>325.39+20.64</f>
        <v>346.03</v>
      </c>
      <c r="T9" s="994">
        <f>SUM(S9/(S7+S9))</f>
        <v>0.36870930963569132</v>
      </c>
      <c r="U9" s="994"/>
      <c r="V9" s="979"/>
      <c r="W9" s="995">
        <f t="shared" si="1"/>
        <v>346.03</v>
      </c>
      <c r="X9" s="996">
        <f t="shared" si="2"/>
        <v>1.3368593483182529E-2</v>
      </c>
      <c r="Y9" s="997">
        <f t="shared" si="3"/>
        <v>-0.10694874786546023</v>
      </c>
    </row>
    <row r="10" spans="1:25" s="976" customFormat="1" ht="17">
      <c r="A10" s="980"/>
      <c r="B10" s="998" t="s">
        <v>338</v>
      </c>
      <c r="C10" s="999"/>
      <c r="D10" s="978">
        <f>SUM(E10+F10)</f>
        <v>0</v>
      </c>
      <c r="E10" s="978">
        <f>0</f>
        <v>0</v>
      </c>
      <c r="F10" s="978">
        <v>0</v>
      </c>
      <c r="G10" s="991">
        <f>SUM(H10+I10)</f>
        <v>0</v>
      </c>
      <c r="H10" s="978">
        <v>0</v>
      </c>
      <c r="I10" s="978">
        <v>0</v>
      </c>
      <c r="J10" s="978"/>
      <c r="K10" s="978"/>
      <c r="L10" s="992">
        <f>SUM(D10+G10)</f>
        <v>0</v>
      </c>
      <c r="M10" s="982"/>
      <c r="O10" s="976" t="s">
        <v>339</v>
      </c>
      <c r="P10" s="993">
        <f t="shared" si="0"/>
        <v>1349.17</v>
      </c>
      <c r="Q10" s="979"/>
      <c r="R10" s="979"/>
      <c r="S10" s="979">
        <v>1349.17</v>
      </c>
      <c r="T10" s="994">
        <f>SUM(S10/(S8+S10))</f>
        <v>0.2977656047918994</v>
      </c>
      <c r="U10" s="994"/>
      <c r="V10" s="979"/>
      <c r="W10" s="995">
        <f t="shared" si="1"/>
        <v>1349.17</v>
      </c>
      <c r="X10" s="996">
        <f t="shared" si="2"/>
        <v>5.2124108515751159E-2</v>
      </c>
      <c r="Y10" s="997">
        <f t="shared" si="3"/>
        <v>-0.41699286812600928</v>
      </c>
    </row>
    <row r="11" spans="1:25" s="976" customFormat="1" ht="18" thickBot="1">
      <c r="A11" s="980"/>
      <c r="B11" s="998" t="s">
        <v>22</v>
      </c>
      <c r="C11" s="999"/>
      <c r="D11" s="1000">
        <f t="shared" ref="D11:I11" si="4">SUM(D6:D10)</f>
        <v>112689216.33579153</v>
      </c>
      <c r="E11" s="1000">
        <f t="shared" si="4"/>
        <v>91526307.165944189</v>
      </c>
      <c r="F11" s="1000">
        <f t="shared" si="4"/>
        <v>21162909.169847347</v>
      </c>
      <c r="G11" s="1000">
        <f t="shared" si="4"/>
        <v>52161671.586288303</v>
      </c>
      <c r="H11" s="1000">
        <f t="shared" si="4"/>
        <v>42274825.772607639</v>
      </c>
      <c r="I11" s="1000">
        <f t="shared" si="4"/>
        <v>9886845.8136806618</v>
      </c>
      <c r="J11" s="1000"/>
      <c r="K11" s="1000"/>
      <c r="L11" s="1000">
        <f>SUM(L6:L10)</f>
        <v>164850887.92207983</v>
      </c>
      <c r="M11" s="982"/>
      <c r="O11" s="1001" t="s">
        <v>327</v>
      </c>
      <c r="P11" s="1002">
        <f>SUM(P5:P10)</f>
        <v>25883.800000000003</v>
      </c>
      <c r="Q11" s="1002">
        <f>SUM(Q5:Q10)</f>
        <v>20414.330000000002</v>
      </c>
      <c r="R11" s="1002"/>
      <c r="S11" s="1002">
        <f>SUM(S5:S10)</f>
        <v>5469.47</v>
      </c>
      <c r="T11" s="1002"/>
      <c r="U11" s="1002"/>
      <c r="V11" s="1002"/>
      <c r="W11" s="1002">
        <f>SUM(W5:W10)</f>
        <v>25883.800000000003</v>
      </c>
      <c r="X11" s="1003"/>
    </row>
    <row r="12" spans="1:25" s="976" customFormat="1" ht="18" thickTop="1">
      <c r="A12" s="980"/>
      <c r="B12" s="998"/>
      <c r="C12" s="1004"/>
      <c r="D12" s="978"/>
      <c r="E12" s="978"/>
      <c r="F12" s="978"/>
      <c r="G12" s="978"/>
      <c r="H12" s="978"/>
      <c r="I12" s="978"/>
      <c r="J12" s="978"/>
      <c r="K12" s="978"/>
      <c r="L12" s="992"/>
      <c r="M12" s="982"/>
      <c r="O12" s="1005"/>
      <c r="P12" s="993"/>
      <c r="Q12" s="993"/>
      <c r="R12" s="993"/>
      <c r="S12" s="993"/>
      <c r="T12" s="993"/>
      <c r="U12" s="993"/>
      <c r="V12" s="993"/>
      <c r="W12" s="993"/>
    </row>
    <row r="13" spans="1:25" s="976" customFormat="1" ht="17">
      <c r="A13" s="980"/>
      <c r="B13" s="998" t="s">
        <v>340</v>
      </c>
      <c r="C13" s="1006">
        <v>0</v>
      </c>
      <c r="D13" s="978">
        <f>SUM(E13:F13)</f>
        <v>3237684.7198472694</v>
      </c>
      <c r="E13" s="978">
        <f>SUM(4467459)*(E11/L11)+183807</f>
        <v>2664169.8893920919</v>
      </c>
      <c r="F13" s="978">
        <f>SUM(4467459)*(F11/L11)</f>
        <v>573514.83045517746</v>
      </c>
      <c r="G13" s="978">
        <f>SUM(H13:I13)</f>
        <v>1229774.2801527306</v>
      </c>
      <c r="H13" s="978">
        <f>SUM(4467459)*(H11/L11)-183807</f>
        <v>961840.76236168668</v>
      </c>
      <c r="I13" s="978">
        <f>SUM(4467459)*(I11/L11)</f>
        <v>267933.51779104408</v>
      </c>
      <c r="J13" s="978"/>
      <c r="K13" s="978"/>
      <c r="L13" s="992">
        <f>SUM(D13+G13)</f>
        <v>4467459</v>
      </c>
      <c r="M13" s="982"/>
      <c r="O13" s="1007">
        <v>5457</v>
      </c>
      <c r="P13" s="1008" t="s">
        <v>341</v>
      </c>
      <c r="Q13" s="979"/>
      <c r="R13" s="979"/>
      <c r="S13" s="1007">
        <f>O13*1.0346</f>
        <v>5645.8121999999994</v>
      </c>
      <c r="T13" s="1008" t="s">
        <v>342</v>
      </c>
      <c r="U13" s="979"/>
      <c r="V13" s="979"/>
    </row>
    <row r="14" spans="1:25" s="976" customFormat="1" ht="17">
      <c r="A14" s="980"/>
      <c r="B14" s="998" t="s">
        <v>343</v>
      </c>
      <c r="C14" s="1006"/>
      <c r="D14" s="978">
        <f>SUM(E14:F14)</f>
        <v>3773224.7912522806</v>
      </c>
      <c r="E14" s="978">
        <f>SUM(5519778)*(E11/L11)</f>
        <v>3064617.3829201125</v>
      </c>
      <c r="F14" s="978">
        <f>SUM(5519778)*(F11/L11)</f>
        <v>708607.40833216789</v>
      </c>
      <c r="G14" s="978">
        <f>SUM(H14:I14)</f>
        <v>1746553.2087477199</v>
      </c>
      <c r="H14" s="978">
        <f>SUM(5519778)*(H11/L11)</f>
        <v>1415507.4091185315</v>
      </c>
      <c r="I14" s="978">
        <f>SUM(5519778)*(I11/L11)</f>
        <v>331045.79962918826</v>
      </c>
      <c r="J14" s="978"/>
      <c r="K14" s="978"/>
      <c r="L14" s="992">
        <f>SUM(D14+G14)</f>
        <v>5519778</v>
      </c>
      <c r="M14" s="982"/>
      <c r="O14" s="1007">
        <v>3347</v>
      </c>
      <c r="P14" s="1008" t="s">
        <v>344</v>
      </c>
      <c r="Q14" s="979"/>
      <c r="R14" s="979"/>
      <c r="S14" s="1007">
        <f>O14*1.0346</f>
        <v>3462.8062</v>
      </c>
      <c r="T14" s="1008" t="s">
        <v>345</v>
      </c>
      <c r="U14" s="979"/>
      <c r="V14" s="979"/>
    </row>
    <row r="15" spans="1:25" s="976" customFormat="1" ht="17">
      <c r="A15" s="980"/>
      <c r="B15" s="998" t="s">
        <v>346</v>
      </c>
      <c r="C15" s="1004"/>
      <c r="D15" s="978">
        <f>SUM(E15:F15)</f>
        <v>0</v>
      </c>
      <c r="E15" s="978">
        <f>SUM(0)*($Q$5/$P$11)</f>
        <v>0</v>
      </c>
      <c r="F15" s="978">
        <f>SUM(0)*($S$7+$S$8)/$P$11</f>
        <v>0</v>
      </c>
      <c r="G15" s="978">
        <f>SUM(H15:I15)</f>
        <v>0</v>
      </c>
      <c r="H15" s="978">
        <f>SUM(0)*($Q$6/$P$11)</f>
        <v>0</v>
      </c>
      <c r="I15" s="978">
        <f>SUM(0)*($S$9+$S$10)/$P$11</f>
        <v>0</v>
      </c>
      <c r="J15" s="978"/>
      <c r="K15" s="978"/>
      <c r="L15" s="992">
        <f>SUM(D15+G15)</f>
        <v>0</v>
      </c>
      <c r="M15" s="982"/>
      <c r="U15" s="979"/>
      <c r="V15" s="979"/>
    </row>
    <row r="16" spans="1:25" s="976" customFormat="1" ht="16.5" hidden="1" customHeight="1">
      <c r="A16" s="980"/>
      <c r="B16" s="998"/>
      <c r="C16" s="1004"/>
      <c r="D16" s="978">
        <f>SUM(E16:F16)</f>
        <v>0</v>
      </c>
      <c r="E16" s="978">
        <f>SUM(0)*($Q$5/$P$11)</f>
        <v>0</v>
      </c>
      <c r="F16" s="978">
        <f>SUM(0)*($S$7+$S$8)/$P$11</f>
        <v>0</v>
      </c>
      <c r="G16" s="978">
        <f>SUM(H16:I16)</f>
        <v>0</v>
      </c>
      <c r="H16" s="978">
        <f>SUM(0)*($Q$6/$P$11)</f>
        <v>0</v>
      </c>
      <c r="I16" s="978">
        <f>SUM(0)*($S$9+$S$10)/$P$11</f>
        <v>0</v>
      </c>
      <c r="J16" s="978"/>
      <c r="K16" s="978"/>
      <c r="L16" s="992">
        <f>SUM(D16+G16)</f>
        <v>0</v>
      </c>
      <c r="M16" s="982"/>
      <c r="O16" s="1009"/>
      <c r="P16" s="1008"/>
      <c r="Q16" s="979"/>
      <c r="R16" s="979"/>
      <c r="S16" s="1009"/>
      <c r="T16" s="1008"/>
      <c r="U16" s="979"/>
      <c r="V16" s="979"/>
    </row>
    <row r="17" spans="1:131" s="976" customFormat="1" ht="16.5" hidden="1" customHeight="1">
      <c r="A17" s="980"/>
      <c r="B17" s="1010" t="s">
        <v>347</v>
      </c>
      <c r="D17" s="978"/>
      <c r="E17" s="978"/>
      <c r="F17" s="978"/>
      <c r="G17" s="978"/>
      <c r="H17" s="978"/>
      <c r="I17" s="978"/>
      <c r="J17" s="978"/>
      <c r="K17" s="978"/>
      <c r="L17" s="992"/>
      <c r="M17" s="982"/>
      <c r="O17" s="1009"/>
      <c r="P17" s="1008"/>
      <c r="Q17" s="979"/>
      <c r="R17" s="979"/>
      <c r="S17" s="1009"/>
      <c r="T17" s="1008"/>
      <c r="U17" s="979"/>
      <c r="V17" s="979"/>
    </row>
    <row r="18" spans="1:131" s="976" customFormat="1" ht="16.5" hidden="1" customHeight="1">
      <c r="A18" s="980"/>
      <c r="B18" s="1011" t="s">
        <v>348</v>
      </c>
      <c r="C18" s="1004"/>
      <c r="D18" s="978">
        <f>SUM(E18:F18)</f>
        <v>0</v>
      </c>
      <c r="E18" s="978">
        <f>SUM(0)*($Q$5/$P$11)</f>
        <v>0</v>
      </c>
      <c r="F18" s="978">
        <f>SUM(0)*($S$7+$S$8)/$P$11</f>
        <v>0</v>
      </c>
      <c r="G18" s="978">
        <f>SUM(H18:I18)</f>
        <v>0</v>
      </c>
      <c r="H18" s="978">
        <f>SUM(0)*($Q$6/$P$11)</f>
        <v>0</v>
      </c>
      <c r="I18" s="978">
        <f>SUM(0)*($S$9+$S$10)/$P$11</f>
        <v>0</v>
      </c>
      <c r="J18" s="978"/>
      <c r="K18" s="978"/>
      <c r="L18" s="992">
        <f>SUM(D18+G18)</f>
        <v>0</v>
      </c>
      <c r="M18" s="982"/>
      <c r="O18" s="1009"/>
      <c r="P18" s="1008"/>
      <c r="Q18" s="979"/>
      <c r="R18" s="979"/>
      <c r="S18" s="1009"/>
      <c r="T18" s="1008"/>
      <c r="U18" s="979"/>
      <c r="V18" s="979"/>
    </row>
    <row r="19" spans="1:131" s="976" customFormat="1" ht="16.5" hidden="1" customHeight="1">
      <c r="A19" s="980"/>
      <c r="B19" s="1011" t="s">
        <v>349</v>
      </c>
      <c r="C19" s="1004"/>
      <c r="D19" s="978">
        <f>SUM(E19:F19)</f>
        <v>0</v>
      </c>
      <c r="E19" s="978">
        <f>SUM(0)*($Q$5/$P$11)</f>
        <v>0</v>
      </c>
      <c r="F19" s="978">
        <f>SUM(0)*($S$7+$S$8)/$P$11</f>
        <v>0</v>
      </c>
      <c r="G19" s="978">
        <f>SUM(H19:I19)</f>
        <v>0</v>
      </c>
      <c r="H19" s="978">
        <f>SUM(0)*($Q$6/$P$11)</f>
        <v>0</v>
      </c>
      <c r="I19" s="978">
        <f>SUM(0)*($S$9+$S$10)/$P$11</f>
        <v>0</v>
      </c>
      <c r="J19" s="978"/>
      <c r="K19" s="978"/>
      <c r="L19" s="992">
        <f>SUM(D19+G19)</f>
        <v>0</v>
      </c>
      <c r="M19" s="982"/>
      <c r="O19" s="1007">
        <v>5457</v>
      </c>
      <c r="P19" s="1008" t="s">
        <v>350</v>
      </c>
      <c r="Q19" s="979"/>
      <c r="R19" s="979"/>
      <c r="S19" s="1007">
        <f>O19*1.0346</f>
        <v>5645.8121999999994</v>
      </c>
      <c r="T19" s="1008" t="s">
        <v>351</v>
      </c>
      <c r="U19" s="979"/>
      <c r="V19" s="979"/>
    </row>
    <row r="20" spans="1:131" s="976" customFormat="1" ht="17">
      <c r="A20" s="980"/>
      <c r="B20" s="998" t="s">
        <v>352</v>
      </c>
      <c r="C20" s="1004"/>
      <c r="D20" s="978">
        <f>SUM(E20:F20)</f>
        <v>0</v>
      </c>
      <c r="E20" s="978">
        <f>SUM(0)*($Q$5/$P$11)</f>
        <v>0</v>
      </c>
      <c r="F20" s="978">
        <f>SUM(0)*($S$7+$S$8)/$P$11</f>
        <v>0</v>
      </c>
      <c r="G20" s="978">
        <f>SUM(H20:I20)</f>
        <v>0</v>
      </c>
      <c r="H20" s="978">
        <f>SUM(0)*($Q$6/$P$11)</f>
        <v>0</v>
      </c>
      <c r="I20" s="978">
        <f>SUM(0)*($S$9+$S$10)/$P$11</f>
        <v>0</v>
      </c>
      <c r="J20" s="978"/>
      <c r="K20" s="978"/>
      <c r="L20" s="992">
        <f>SUM(D20+G20)</f>
        <v>0</v>
      </c>
      <c r="M20" s="982"/>
      <c r="O20" s="1007"/>
      <c r="P20" s="1008"/>
      <c r="Q20" s="979"/>
      <c r="R20" s="979"/>
      <c r="S20" s="1007"/>
      <c r="T20" s="1008"/>
      <c r="U20" s="979"/>
      <c r="V20" s="979"/>
    </row>
    <row r="21" spans="1:131" s="1016" customFormat="1" ht="18" thickBot="1">
      <c r="A21" s="1012"/>
      <c r="B21" s="990" t="s">
        <v>353</v>
      </c>
      <c r="C21" s="976"/>
      <c r="D21" s="1013">
        <f>SUM(E21:F21)</f>
        <v>119700125.84689109</v>
      </c>
      <c r="E21" s="1013">
        <f>SUM(E11:E20)</f>
        <v>97255094.438256398</v>
      </c>
      <c r="F21" s="1013">
        <f>SUM(F11:F20)</f>
        <v>22445031.408634692</v>
      </c>
      <c r="G21" s="1013">
        <f>SUM(H21:I21)</f>
        <v>55137999.075188756</v>
      </c>
      <c r="H21" s="1013">
        <f>SUM(H11:H20)</f>
        <v>44652173.944087863</v>
      </c>
      <c r="I21" s="1013">
        <f>SUM(I11:I20)</f>
        <v>10485825.131100895</v>
      </c>
      <c r="J21" s="1013"/>
      <c r="K21" s="1013"/>
      <c r="L21" s="1014">
        <f>SUM(L11:L20)</f>
        <v>174838124.92207983</v>
      </c>
      <c r="M21" s="1015"/>
      <c r="N21" s="976"/>
      <c r="O21" s="977" t="s">
        <v>321</v>
      </c>
      <c r="P21" s="979"/>
      <c r="Q21" s="979"/>
      <c r="R21" s="979"/>
      <c r="S21" s="979"/>
      <c r="T21" s="979"/>
      <c r="U21" s="979"/>
      <c r="V21" s="979"/>
      <c r="W21" s="976"/>
      <c r="X21" s="976"/>
      <c r="Z21" s="976"/>
      <c r="AA21" s="976"/>
      <c r="AB21" s="976"/>
      <c r="AC21" s="976"/>
      <c r="AD21" s="976"/>
      <c r="AE21" s="976"/>
      <c r="AF21" s="976"/>
      <c r="AG21" s="976"/>
      <c r="AH21" s="976"/>
      <c r="AI21" s="976"/>
      <c r="AJ21" s="976"/>
      <c r="AK21" s="976"/>
      <c r="AL21" s="976"/>
      <c r="AM21" s="976"/>
      <c r="AN21" s="976"/>
      <c r="AO21" s="976"/>
      <c r="AP21" s="976"/>
      <c r="AQ21" s="976"/>
      <c r="AR21" s="976"/>
      <c r="AS21" s="976"/>
      <c r="AT21" s="976"/>
      <c r="AU21" s="976"/>
      <c r="AV21" s="976"/>
      <c r="AW21" s="976"/>
      <c r="AX21" s="976"/>
      <c r="AY21" s="976"/>
      <c r="AZ21" s="976"/>
      <c r="BA21" s="976"/>
      <c r="BB21" s="976"/>
      <c r="BC21" s="976"/>
      <c r="BD21" s="976"/>
      <c r="BE21" s="976"/>
      <c r="BF21" s="976"/>
      <c r="BG21" s="976"/>
      <c r="BH21" s="976"/>
      <c r="BI21" s="976"/>
      <c r="BJ21" s="976"/>
      <c r="BK21" s="976"/>
      <c r="BL21" s="976"/>
      <c r="BM21" s="976"/>
      <c r="BN21" s="976"/>
      <c r="BO21" s="976"/>
      <c r="BP21" s="976"/>
      <c r="BQ21" s="976"/>
      <c r="BR21" s="976"/>
      <c r="BS21" s="976"/>
      <c r="BT21" s="976"/>
      <c r="BU21" s="976"/>
      <c r="BV21" s="976"/>
      <c r="BW21" s="976"/>
      <c r="BX21" s="976"/>
      <c r="BY21" s="976"/>
      <c r="BZ21" s="976"/>
      <c r="CA21" s="976"/>
      <c r="CB21" s="976"/>
      <c r="CC21" s="976"/>
      <c r="CD21" s="976"/>
      <c r="CE21" s="976"/>
      <c r="CF21" s="976"/>
      <c r="CG21" s="976"/>
      <c r="CH21" s="976"/>
      <c r="CI21" s="976"/>
      <c r="CJ21" s="976"/>
      <c r="CK21" s="976"/>
      <c r="CL21" s="976"/>
      <c r="CM21" s="976"/>
      <c r="CN21" s="976"/>
      <c r="CO21" s="976"/>
      <c r="CP21" s="976"/>
      <c r="CQ21" s="976"/>
      <c r="CR21" s="976"/>
      <c r="CS21" s="976"/>
      <c r="CT21" s="976"/>
      <c r="CU21" s="976"/>
      <c r="CV21" s="976"/>
      <c r="CW21" s="976"/>
      <c r="CX21" s="976"/>
      <c r="CY21" s="976"/>
      <c r="CZ21" s="976"/>
      <c r="DA21" s="976"/>
      <c r="DB21" s="976"/>
      <c r="DC21" s="976"/>
      <c r="DD21" s="976"/>
      <c r="DE21" s="976"/>
      <c r="DF21" s="976"/>
      <c r="DG21" s="976"/>
      <c r="DH21" s="976"/>
      <c r="DI21" s="976"/>
      <c r="DJ21" s="976"/>
      <c r="DK21" s="976"/>
      <c r="DL21" s="976"/>
      <c r="DM21" s="976"/>
      <c r="DN21" s="976"/>
      <c r="DO21" s="976"/>
      <c r="DP21" s="976"/>
      <c r="DQ21" s="976"/>
      <c r="DR21" s="976"/>
      <c r="DS21" s="976"/>
      <c r="DT21" s="976"/>
      <c r="DU21" s="976"/>
      <c r="DV21" s="976"/>
      <c r="DW21" s="976"/>
      <c r="DX21" s="976"/>
      <c r="DY21" s="976"/>
      <c r="DZ21" s="976"/>
      <c r="EA21" s="976"/>
    </row>
    <row r="22" spans="1:131" s="1016" customFormat="1" ht="19" thickTop="1" thickBot="1">
      <c r="A22" s="1012"/>
      <c r="B22" s="1017" t="s">
        <v>354</v>
      </c>
      <c r="D22" s="1018">
        <f>SUM(D21/$L$21)</f>
        <v>0.68463400588537471</v>
      </c>
      <c r="E22" s="1018">
        <f>SUM(E21/($E$21+$F$21+$H$21+$I$21))</f>
        <v>0.55625793562817083</v>
      </c>
      <c r="F22" s="1018">
        <f>SUM(F21/($E$21+$F$21+$H$21+$I$21))</f>
        <v>0.12837607025720377</v>
      </c>
      <c r="G22" s="1018">
        <f>SUM(G21/$L$21)</f>
        <v>0.31536599411462535</v>
      </c>
      <c r="H22" s="1018">
        <f>SUM(H21/($E$21+$F$21+$H$21+$I$21))</f>
        <v>0.25539151694739354</v>
      </c>
      <c r="I22" s="1018">
        <f>SUM(I21/($E$21+$F$21+$H$21+$I$21))</f>
        <v>5.9974477167231775E-2</v>
      </c>
      <c r="J22" s="1018"/>
      <c r="K22" s="1018"/>
      <c r="L22" s="1019"/>
      <c r="M22" s="1020"/>
      <c r="N22" s="976"/>
      <c r="O22" s="988" t="s">
        <v>328</v>
      </c>
      <c r="P22" s="989" t="s">
        <v>329</v>
      </c>
      <c r="Q22" s="989" t="s">
        <v>330</v>
      </c>
      <c r="R22" s="989"/>
      <c r="S22" s="989" t="s">
        <v>331</v>
      </c>
      <c r="T22" s="989"/>
      <c r="U22" s="989" t="s">
        <v>332</v>
      </c>
      <c r="V22" s="989" t="s">
        <v>355</v>
      </c>
      <c r="W22" s="988" t="s">
        <v>15</v>
      </c>
      <c r="X22" s="1021" t="s">
        <v>356</v>
      </c>
    </row>
    <row r="23" spans="1:131" s="976" customFormat="1" ht="17">
      <c r="A23" s="980"/>
      <c r="B23" s="1017"/>
      <c r="C23" s="1016"/>
      <c r="D23" s="1018"/>
      <c r="E23" s="1018"/>
      <c r="F23" s="1018"/>
      <c r="G23" s="1018"/>
      <c r="H23" s="1018"/>
      <c r="I23" s="1018"/>
      <c r="J23" s="1018"/>
      <c r="K23" s="1018"/>
      <c r="L23" s="1019"/>
      <c r="M23" s="1020"/>
      <c r="O23" s="976" t="s">
        <v>322</v>
      </c>
      <c r="P23" s="993">
        <f t="shared" ref="P23:P28" si="5">SUM(Q23+S23)</f>
        <v>14230.23</v>
      </c>
      <c r="Q23" s="979">
        <v>14230.23</v>
      </c>
      <c r="R23" s="994">
        <f>SUM(Q23/(Q23+Q24))</f>
        <v>0.69707063616586973</v>
      </c>
      <c r="S23" s="979"/>
      <c r="T23" s="994"/>
      <c r="U23" s="994">
        <f>SUM(P23+P25+P26)/P29</f>
        <v>0.69558951931323831</v>
      </c>
      <c r="V23" s="979">
        <v>465.99</v>
      </c>
      <c r="W23" s="995">
        <f t="shared" ref="W23:W28" si="6">SUM(Q23+S23+V23)</f>
        <v>14696.22</v>
      </c>
      <c r="X23" s="994">
        <f>SUM(W23+W25+W26)/W29</f>
        <v>0.69569905919273933</v>
      </c>
      <c r="Z23" s="1016"/>
      <c r="AA23" s="1016"/>
      <c r="AB23" s="1016"/>
      <c r="AC23" s="1016"/>
      <c r="AD23" s="1016"/>
      <c r="AE23" s="1016"/>
      <c r="AF23" s="1016"/>
      <c r="AG23" s="1016"/>
      <c r="AH23" s="1016"/>
      <c r="AI23" s="1016"/>
      <c r="AJ23" s="1016"/>
      <c r="AK23" s="1016"/>
      <c r="AL23" s="1016"/>
      <c r="AM23" s="1016"/>
      <c r="AN23" s="1016"/>
      <c r="AO23" s="1016"/>
      <c r="AP23" s="1016"/>
      <c r="AQ23" s="1016"/>
      <c r="AR23" s="1016"/>
      <c r="AS23" s="1016"/>
      <c r="AT23" s="1016"/>
      <c r="AU23" s="1016"/>
      <c r="AV23" s="1016"/>
      <c r="AW23" s="1016"/>
      <c r="AX23" s="1016"/>
      <c r="AY23" s="1016"/>
      <c r="AZ23" s="1016"/>
      <c r="BA23" s="1016"/>
      <c r="BB23" s="1016"/>
      <c r="BC23" s="1016"/>
      <c r="BD23" s="1016"/>
      <c r="BE23" s="1016"/>
      <c r="BF23" s="1016"/>
      <c r="BG23" s="1016"/>
      <c r="BH23" s="1016"/>
      <c r="BI23" s="1016"/>
      <c r="BJ23" s="1016"/>
      <c r="BK23" s="1016"/>
      <c r="BL23" s="1016"/>
      <c r="BM23" s="1016"/>
      <c r="BN23" s="1016"/>
      <c r="BO23" s="1016"/>
      <c r="BP23" s="1016"/>
      <c r="BQ23" s="1016"/>
      <c r="BR23" s="1016"/>
      <c r="BS23" s="1016"/>
      <c r="BT23" s="1016"/>
      <c r="BU23" s="1016"/>
      <c r="BV23" s="1016"/>
      <c r="BW23" s="1016"/>
      <c r="BX23" s="1016"/>
      <c r="BY23" s="1016"/>
      <c r="BZ23" s="1016"/>
      <c r="CA23" s="1016"/>
      <c r="CB23" s="1016"/>
      <c r="CC23" s="1016"/>
      <c r="CD23" s="1016"/>
      <c r="CE23" s="1016"/>
      <c r="CF23" s="1016"/>
      <c r="CG23" s="1016"/>
      <c r="CH23" s="1016"/>
      <c r="CI23" s="1016"/>
      <c r="CJ23" s="1016"/>
      <c r="CK23" s="1016"/>
      <c r="CL23" s="1016"/>
      <c r="CM23" s="1016"/>
      <c r="CN23" s="1016"/>
      <c r="CO23" s="1016"/>
      <c r="CP23" s="1016"/>
      <c r="CQ23" s="1016"/>
      <c r="CR23" s="1016"/>
      <c r="CS23" s="1016"/>
      <c r="CT23" s="1016"/>
      <c r="CU23" s="1016"/>
      <c r="CV23" s="1016"/>
      <c r="CW23" s="1016"/>
      <c r="CX23" s="1016"/>
      <c r="CY23" s="1016"/>
      <c r="CZ23" s="1016"/>
      <c r="DA23" s="1016"/>
      <c r="DB23" s="1016"/>
      <c r="DC23" s="1016"/>
      <c r="DD23" s="1016"/>
      <c r="DE23" s="1016"/>
      <c r="DF23" s="1016"/>
      <c r="DG23" s="1016"/>
      <c r="DH23" s="1016"/>
      <c r="DI23" s="1016"/>
      <c r="DJ23" s="1016"/>
      <c r="DK23" s="1016"/>
      <c r="DL23" s="1016"/>
      <c r="DM23" s="1016"/>
      <c r="DN23" s="1016"/>
      <c r="DO23" s="1016"/>
      <c r="DP23" s="1016"/>
      <c r="DQ23" s="1016"/>
      <c r="DR23" s="1016"/>
      <c r="DS23" s="1016"/>
      <c r="DT23" s="1016"/>
      <c r="DU23" s="1016"/>
      <c r="DV23" s="1016"/>
      <c r="DW23" s="1016"/>
      <c r="DX23" s="1016"/>
      <c r="DY23" s="1016"/>
      <c r="DZ23" s="1016"/>
      <c r="EA23" s="1016"/>
    </row>
    <row r="24" spans="1:131" s="976" customFormat="1" ht="17">
      <c r="A24" s="980"/>
      <c r="B24" s="998" t="s">
        <v>357</v>
      </c>
      <c r="C24" s="999"/>
      <c r="D24" s="978"/>
      <c r="E24" s="991"/>
      <c r="F24" s="991"/>
      <c r="G24" s="991"/>
      <c r="H24" s="991"/>
      <c r="I24" s="991"/>
      <c r="J24" s="991"/>
      <c r="K24" s="991"/>
      <c r="L24" s="992"/>
      <c r="M24" s="982"/>
      <c r="O24" s="976" t="s">
        <v>324</v>
      </c>
      <c r="P24" s="993">
        <f t="shared" si="5"/>
        <v>6184.1</v>
      </c>
      <c r="Q24" s="979">
        <v>6184.1</v>
      </c>
      <c r="R24" s="994">
        <f>SUM(Q24/(Q23+Q24))</f>
        <v>0.30292936383413022</v>
      </c>
      <c r="S24" s="979"/>
      <c r="T24" s="994"/>
      <c r="U24" s="994">
        <f>SUM(P24+P27+P28)/P29</f>
        <v>0.30441048068676158</v>
      </c>
      <c r="V24" s="979">
        <v>199.75</v>
      </c>
      <c r="W24" s="995">
        <f t="shared" si="6"/>
        <v>6383.85</v>
      </c>
      <c r="X24" s="994">
        <f>SUM(W24+W27+W28)/W29</f>
        <v>0.30430094080726067</v>
      </c>
    </row>
    <row r="25" spans="1:131" s="976" customFormat="1" ht="17">
      <c r="A25" s="980"/>
      <c r="B25" s="1011" t="s">
        <v>358</v>
      </c>
      <c r="C25" s="1022"/>
      <c r="D25" s="978">
        <f>SUM(E25:F25)</f>
        <v>2825985.2343656425</v>
      </c>
      <c r="E25" s="991">
        <f>SUM(4062080*($Q$23+$V$23)/$W$29)</f>
        <v>2248521.870345023</v>
      </c>
      <c r="F25" s="991">
        <f>SUM(4062080*($P$25+$P$26)/$W$29)</f>
        <v>577463.36402061954</v>
      </c>
      <c r="G25" s="991">
        <f>SUM(H25:I25)</f>
        <v>1236094.7656343575</v>
      </c>
      <c r="H25" s="991">
        <f>SUM(4062080*($Q$24+$V$24)/$W$29)</f>
        <v>976729.14137118752</v>
      </c>
      <c r="I25" s="991">
        <f>SUM(4062080*($P$27+$P$28)/$W$29)</f>
        <v>259365.62426316991</v>
      </c>
      <c r="J25" s="991"/>
      <c r="K25" s="991"/>
      <c r="L25" s="992">
        <f>SUM(D25+G25+J25+K25)</f>
        <v>4062080</v>
      </c>
      <c r="M25" s="982"/>
      <c r="O25" s="976" t="s">
        <v>323</v>
      </c>
      <c r="P25" s="993">
        <f t="shared" si="5"/>
        <v>592.46</v>
      </c>
      <c r="Q25" s="979"/>
      <c r="R25" s="979"/>
      <c r="S25" s="979">
        <v>592.46</v>
      </c>
      <c r="T25" s="994">
        <f>SUM(S25/(S25+S27))</f>
        <v>0.63129069036430863</v>
      </c>
      <c r="U25" s="994"/>
      <c r="V25" s="979"/>
      <c r="W25" s="995">
        <f t="shared" si="6"/>
        <v>592.46</v>
      </c>
    </row>
    <row r="26" spans="1:131" s="976" customFormat="1" ht="17">
      <c r="A26" s="980"/>
      <c r="B26" s="1011" t="s">
        <v>359</v>
      </c>
      <c r="C26" s="1022"/>
      <c r="D26" s="978">
        <f>SUM(E26:F26)</f>
        <v>551482.15182855679</v>
      </c>
      <c r="E26" s="991">
        <f>SUM(792827*U5)</f>
        <v>551482.15182855679</v>
      </c>
      <c r="F26" s="991">
        <v>0</v>
      </c>
      <c r="G26" s="991">
        <f>SUM(H26:I26)</f>
        <v>241344.84817144313</v>
      </c>
      <c r="H26" s="991">
        <f>SUM(792827*U6)</f>
        <v>241344.84817144313</v>
      </c>
      <c r="I26" s="991">
        <v>0</v>
      </c>
      <c r="J26" s="991"/>
      <c r="K26" s="991"/>
      <c r="L26" s="992">
        <f>SUM(D26+G26+J26+K26)</f>
        <v>792826.99999999988</v>
      </c>
      <c r="M26" s="982"/>
      <c r="O26" s="976" t="s">
        <v>336</v>
      </c>
      <c r="P26" s="993">
        <f t="shared" si="5"/>
        <v>3181.81</v>
      </c>
      <c r="Q26" s="979"/>
      <c r="R26" s="979"/>
      <c r="S26" s="979">
        <v>3181.81</v>
      </c>
      <c r="T26" s="994">
        <f>SUM(S26/(S26+S28))</f>
        <v>0.70223439520810071</v>
      </c>
      <c r="U26" s="994"/>
      <c r="V26" s="979"/>
      <c r="W26" s="995">
        <f t="shared" si="6"/>
        <v>3181.81</v>
      </c>
    </row>
    <row r="27" spans="1:131" s="976" customFormat="1" ht="17">
      <c r="A27" s="980"/>
      <c r="B27" s="1011" t="s">
        <v>360</v>
      </c>
      <c r="C27" s="1022"/>
      <c r="D27" s="978">
        <f>SUM(E27:F27)</f>
        <v>871966.26280000014</v>
      </c>
      <c r="E27" s="978">
        <f>SUM(1307884)*66.67%</f>
        <v>871966.26280000014</v>
      </c>
      <c r="F27" s="991">
        <f>SUM(0*($P$25+$P$26)/$W$29)</f>
        <v>0</v>
      </c>
      <c r="G27" s="978">
        <f>SUM(H27:I27)</f>
        <v>435917.73719999997</v>
      </c>
      <c r="H27" s="978">
        <f>SUM(1307884)*(33.33%)</f>
        <v>435917.73719999997</v>
      </c>
      <c r="I27" s="978">
        <f>SUM(0)*($S$9+$S$10)/$P$11</f>
        <v>0</v>
      </c>
      <c r="J27" s="991"/>
      <c r="K27" s="991"/>
      <c r="L27" s="992">
        <f>SUM(D27+G27+J27+K27)</f>
        <v>1307884</v>
      </c>
      <c r="M27" s="982"/>
      <c r="O27" s="976" t="s">
        <v>325</v>
      </c>
      <c r="P27" s="993">
        <f t="shared" si="5"/>
        <v>346.03</v>
      </c>
      <c r="Q27" s="979"/>
      <c r="R27" s="979"/>
      <c r="S27" s="979">
        <f>325.39+20.64</f>
        <v>346.03</v>
      </c>
      <c r="T27" s="994">
        <f>SUM(S27/(S25+S27))</f>
        <v>0.36870930963569132</v>
      </c>
      <c r="U27" s="994"/>
      <c r="V27" s="979"/>
      <c r="W27" s="995">
        <f t="shared" si="6"/>
        <v>346.03</v>
      </c>
    </row>
    <row r="28" spans="1:131" s="976" customFormat="1" ht="17">
      <c r="A28" s="980"/>
      <c r="B28" s="1011" t="s">
        <v>361</v>
      </c>
      <c r="C28" s="1022"/>
      <c r="D28" s="978">
        <f>SUM(E28:F28)</f>
        <v>427655.39236897201</v>
      </c>
      <c r="E28" s="991">
        <f>SUM(614810*P23/P29)</f>
        <v>338006.30920884869</v>
      </c>
      <c r="F28" s="991">
        <f>SUM(614810*(P25+P26)/P29)</f>
        <v>89649.083160123308</v>
      </c>
      <c r="G28" s="991">
        <f>SUM(H28:I28)</f>
        <v>187154.60763102787</v>
      </c>
      <c r="H28" s="991">
        <f>SUM(614810*P24/P29)</f>
        <v>146889.03951506346</v>
      </c>
      <c r="I28" s="991">
        <f>SUM(614810*(P27+P28)/P29)</f>
        <v>40265.568115964423</v>
      </c>
      <c r="J28" s="991"/>
      <c r="K28" s="991"/>
      <c r="L28" s="992">
        <f>SUM(D28+G28+J28+K28)</f>
        <v>614809.99999999988</v>
      </c>
      <c r="M28" s="982"/>
      <c r="O28" s="976" t="s">
        <v>339</v>
      </c>
      <c r="P28" s="993">
        <f t="shared" si="5"/>
        <v>1349.17</v>
      </c>
      <c r="Q28" s="979"/>
      <c r="R28" s="979"/>
      <c r="S28" s="979">
        <v>1349.17</v>
      </c>
      <c r="T28" s="994">
        <f>SUM(S28/(S26+S28))</f>
        <v>0.2977656047918994</v>
      </c>
      <c r="U28" s="994"/>
      <c r="V28" s="979"/>
      <c r="W28" s="995">
        <f t="shared" si="6"/>
        <v>1349.17</v>
      </c>
    </row>
    <row r="29" spans="1:131" s="976" customFormat="1" ht="18" thickBot="1">
      <c r="A29" s="980"/>
      <c r="B29" s="1023" t="s">
        <v>362</v>
      </c>
      <c r="C29" s="1024"/>
      <c r="D29" s="1025">
        <f t="shared" ref="D29:I29" si="7">SUM(D25:D28)</f>
        <v>4677089.0413631722</v>
      </c>
      <c r="E29" s="1026">
        <f t="shared" si="7"/>
        <v>4009976.5941824284</v>
      </c>
      <c r="F29" s="1026">
        <f t="shared" si="7"/>
        <v>667112.44718074286</v>
      </c>
      <c r="G29" s="1025">
        <f t="shared" si="7"/>
        <v>2100511.9586368282</v>
      </c>
      <c r="H29" s="1026">
        <f t="shared" si="7"/>
        <v>1800880.7662576942</v>
      </c>
      <c r="I29" s="1026">
        <f t="shared" si="7"/>
        <v>299631.19237913436</v>
      </c>
      <c r="J29" s="1026"/>
      <c r="K29" s="1026"/>
      <c r="L29" s="1027">
        <f>SUM(L25:L28)</f>
        <v>6777601</v>
      </c>
      <c r="M29" s="1028"/>
      <c r="O29" s="1001" t="s">
        <v>327</v>
      </c>
      <c r="P29" s="1002">
        <f>SUM(P23:P28)</f>
        <v>25883.800000000003</v>
      </c>
      <c r="Q29" s="1002">
        <f>SUM(Q23:Q28)</f>
        <v>20414.330000000002</v>
      </c>
      <c r="R29" s="1002"/>
      <c r="S29" s="1002">
        <f>SUM(S23:S28)</f>
        <v>5469.47</v>
      </c>
      <c r="T29" s="1002"/>
      <c r="U29" s="1002"/>
      <c r="V29" s="1002">
        <f>SUM(V23:V28)</f>
        <v>665.74</v>
      </c>
      <c r="W29" s="1002">
        <f>SUM(W23:W28)</f>
        <v>26549.54</v>
      </c>
    </row>
    <row r="30" spans="1:131" s="976" customFormat="1" ht="18" thickTop="1">
      <c r="A30" s="980"/>
      <c r="B30" s="998"/>
      <c r="D30" s="978"/>
      <c r="E30" s="978"/>
      <c r="F30" s="978"/>
      <c r="G30" s="978"/>
      <c r="H30" s="978"/>
      <c r="I30" s="978"/>
      <c r="J30" s="978"/>
      <c r="K30" s="978"/>
      <c r="L30" s="992"/>
      <c r="M30" s="982"/>
      <c r="V30" s="979"/>
    </row>
    <row r="31" spans="1:131" s="976" customFormat="1" ht="18">
      <c r="A31" s="980"/>
      <c r="B31" s="1029" t="s">
        <v>363</v>
      </c>
      <c r="C31" s="1030"/>
      <c r="D31" s="1031">
        <f>SUM(E31:F31)</f>
        <v>124377214.88825427</v>
      </c>
      <c r="E31" s="1031">
        <f>SUM(E21,E29)</f>
        <v>101265071.03243883</v>
      </c>
      <c r="F31" s="1031">
        <f>SUM(F21,F29)</f>
        <v>23112143.855815437</v>
      </c>
      <c r="G31" s="1031">
        <f>SUM(H31:I31)</f>
        <v>57238511.033825591</v>
      </c>
      <c r="H31" s="1031">
        <f>SUM(H21,H29)</f>
        <v>46453054.710345559</v>
      </c>
      <c r="I31" s="1031">
        <f>SUM(I21,I29)</f>
        <v>10785456.323480029</v>
      </c>
      <c r="J31" s="1031"/>
      <c r="K31" s="1031"/>
      <c r="L31" s="1032">
        <f>SUM(D31+G31+J31+K31)</f>
        <v>181615725.92207986</v>
      </c>
      <c r="M31" s="1015"/>
      <c r="O31" s="1033" t="s">
        <v>364</v>
      </c>
      <c r="P31" s="1034" t="s">
        <v>365</v>
      </c>
      <c r="Q31" s="979"/>
      <c r="R31" s="979"/>
      <c r="S31" s="979"/>
      <c r="T31" s="979"/>
      <c r="U31" s="979"/>
      <c r="V31" s="979"/>
    </row>
    <row r="32" spans="1:131" s="976" customFormat="1" ht="17.25" customHeight="1" thickBot="1">
      <c r="A32" s="980"/>
      <c r="B32" s="1017" t="s">
        <v>354</v>
      </c>
      <c r="C32" s="977"/>
      <c r="D32" s="1018">
        <f>SUM(D31/$L$31)</f>
        <v>0.68483725325425227</v>
      </c>
      <c r="E32" s="1018">
        <f>SUM(E31/($E$31+$F$31+$H$31+$I$31))</f>
        <v>0.55757875876830976</v>
      </c>
      <c r="F32" s="1018">
        <f>SUM(F31/($E$31+$F$31+$H$31+$I$31))</f>
        <v>0.12725849448594245</v>
      </c>
      <c r="G32" s="1018">
        <f>SUM(G31/$L$31)</f>
        <v>0.31516274674574773</v>
      </c>
      <c r="H32" s="1018">
        <f>SUM(H31/($E$31+$F$31+$H$31+$I$31))</f>
        <v>0.25577661006225699</v>
      </c>
      <c r="I32" s="1018">
        <f>SUM(I31/($E$31+$F$31+$H$31+$I$31))</f>
        <v>5.9386136683490749E-2</v>
      </c>
      <c r="J32" s="1035"/>
      <c r="K32" s="1035"/>
      <c r="L32" s="1036"/>
      <c r="M32" s="1015"/>
      <c r="O32" s="988" t="s">
        <v>328</v>
      </c>
      <c r="P32" s="989" t="s">
        <v>329</v>
      </c>
      <c r="Q32" s="989" t="s">
        <v>330</v>
      </c>
      <c r="R32" s="989"/>
      <c r="S32" s="989" t="s">
        <v>331</v>
      </c>
      <c r="T32" s="989"/>
      <c r="U32" s="989" t="s">
        <v>332</v>
      </c>
      <c r="V32" s="989" t="s">
        <v>355</v>
      </c>
      <c r="W32" s="988" t="s">
        <v>15</v>
      </c>
    </row>
    <row r="33" spans="1:25" s="976" customFormat="1" ht="17.25" customHeight="1">
      <c r="A33" s="980"/>
      <c r="B33" s="1037" t="s">
        <v>366</v>
      </c>
      <c r="C33" s="977"/>
      <c r="D33" s="1035">
        <f>-L33*D32</f>
        <v>-8266239.0365625285</v>
      </c>
      <c r="E33" s="1035"/>
      <c r="F33" s="1035"/>
      <c r="G33" s="1035">
        <f>-L33*G32</f>
        <v>-3804130.9634374711</v>
      </c>
      <c r="H33" s="1035"/>
      <c r="I33" s="1035"/>
      <c r="J33" s="1035"/>
      <c r="K33" s="1038"/>
      <c r="L33" s="1036">
        <f>SUM(K46:K51)</f>
        <v>12070370</v>
      </c>
      <c r="M33" s="1015"/>
      <c r="O33" s="976" t="s">
        <v>322</v>
      </c>
      <c r="P33" s="993">
        <f t="shared" ref="P33:P38" si="8">SUM(Q33+S33)</f>
        <v>16238.52</v>
      </c>
      <c r="Q33" s="979">
        <v>16238.52</v>
      </c>
      <c r="R33" s="994">
        <f>SUM(Q33/(Q33+Q34))</f>
        <v>0.69679641820864091</v>
      </c>
      <c r="S33" s="979"/>
      <c r="T33" s="994"/>
      <c r="U33" s="994">
        <f>SUM(P33+P35+P36)/P39</f>
        <v>0.69583025427072076</v>
      </c>
      <c r="V33" s="979">
        <v>500.68</v>
      </c>
      <c r="W33" s="995">
        <f t="shared" ref="W33:W38" si="9">SUM(Q33+S33+V33)</f>
        <v>16739.2</v>
      </c>
    </row>
    <row r="34" spans="1:25" s="976" customFormat="1" ht="17.25" customHeight="1">
      <c r="A34" s="980"/>
      <c r="B34" s="1037" t="s">
        <v>367</v>
      </c>
      <c r="C34" s="977"/>
      <c r="D34" s="1035">
        <f>-L34*D32</f>
        <v>-20936735.617365733</v>
      </c>
      <c r="E34" s="1035"/>
      <c r="F34" s="1035"/>
      <c r="G34" s="1035">
        <f>-L34*G32</f>
        <v>-9635105.3826342672</v>
      </c>
      <c r="H34" s="1035"/>
      <c r="I34" s="1035"/>
      <c r="J34" s="1035"/>
      <c r="K34" s="1038"/>
      <c r="L34" s="1036">
        <f>SUM(J42+J43+J44-J68-K68)</f>
        <v>30571841</v>
      </c>
      <c r="M34" s="1015"/>
      <c r="O34" s="976" t="s">
        <v>324</v>
      </c>
      <c r="P34" s="993">
        <f t="shared" si="8"/>
        <v>7066.02</v>
      </c>
      <c r="Q34" s="979">
        <v>7066.02</v>
      </c>
      <c r="R34" s="994">
        <f>SUM(Q34/(Q33+Q34))</f>
        <v>0.30320358179135909</v>
      </c>
      <c r="S34" s="979"/>
      <c r="T34" s="994"/>
      <c r="U34" s="994">
        <f>SUM(P34+P37+P38)/P39</f>
        <v>0.30416974572927913</v>
      </c>
      <c r="V34" s="979">
        <v>165.73</v>
      </c>
      <c r="W34" s="995">
        <f t="shared" si="9"/>
        <v>7231.75</v>
      </c>
    </row>
    <row r="35" spans="1:25" s="976" customFormat="1" ht="17.25" customHeight="1" thickBot="1">
      <c r="A35" s="980"/>
      <c r="B35" s="1037"/>
      <c r="C35" s="977"/>
      <c r="D35" s="1035"/>
      <c r="E35" s="1035"/>
      <c r="F35" s="1035"/>
      <c r="G35" s="1035"/>
      <c r="H35" s="1035"/>
      <c r="I35" s="1035"/>
      <c r="J35" s="1035"/>
      <c r="K35" s="1035"/>
      <c r="L35" s="1039">
        <f>SUM(L31-L33-L34)</f>
        <v>138973514.92207986</v>
      </c>
      <c r="M35" s="1015"/>
      <c r="O35" s="976" t="s">
        <v>323</v>
      </c>
      <c r="P35" s="993">
        <f t="shared" si="8"/>
        <v>666.33</v>
      </c>
      <c r="Q35" s="979"/>
      <c r="R35" s="979"/>
      <c r="S35" s="979">
        <v>666.33</v>
      </c>
      <c r="T35" s="994">
        <f>SUM(S35/(S35+S37))</f>
        <v>0.61003588823378629</v>
      </c>
      <c r="U35" s="994"/>
      <c r="V35" s="979"/>
      <c r="W35" s="995">
        <f t="shared" si="9"/>
        <v>666.33</v>
      </c>
      <c r="X35" s="1040"/>
    </row>
    <row r="36" spans="1:25" s="976" customFormat="1" ht="17.25" customHeight="1" thickTop="1">
      <c r="A36" s="980"/>
      <c r="B36" s="1037"/>
      <c r="C36" s="977"/>
      <c r="D36" s="1035"/>
      <c r="E36" s="1035"/>
      <c r="F36" s="1035"/>
      <c r="G36" s="1035"/>
      <c r="H36" s="1035"/>
      <c r="I36" s="1035"/>
      <c r="J36" s="1035"/>
      <c r="K36" s="1035"/>
      <c r="L36" s="1036"/>
      <c r="M36" s="1015"/>
      <c r="O36" s="976" t="s">
        <v>336</v>
      </c>
      <c r="P36" s="993">
        <f t="shared" si="8"/>
        <v>3537.62</v>
      </c>
      <c r="Q36" s="979"/>
      <c r="R36" s="979"/>
      <c r="S36" s="979">
        <v>3537.62</v>
      </c>
      <c r="T36" s="994">
        <f>SUM(S36/(S36+S38))</f>
        <v>0.71012162490389841</v>
      </c>
      <c r="U36" s="994"/>
      <c r="V36" s="979"/>
      <c r="W36" s="995">
        <f t="shared" si="9"/>
        <v>3537.62</v>
      </c>
      <c r="X36" s="1040"/>
    </row>
    <row r="37" spans="1:25" s="976" customFormat="1" ht="17.25" customHeight="1">
      <c r="A37" s="980"/>
      <c r="B37" s="1037" t="s">
        <v>368</v>
      </c>
      <c r="C37" s="977"/>
      <c r="D37" s="1035">
        <f>D31+D33+D34</f>
        <v>95174240.234326005</v>
      </c>
      <c r="E37" s="1035">
        <f>SUM($L$35-$J$37)*E32</f>
        <v>77488679.951922461</v>
      </c>
      <c r="F37" s="1035">
        <f>SUM($L$35-$J$37)*F32</f>
        <v>17685560.28240354</v>
      </c>
      <c r="G37" s="1035">
        <f>G31+G33+G34</f>
        <v>43799274.687753856</v>
      </c>
      <c r="H37" s="1035">
        <f>SUM($L$35-$J$37)*H32</f>
        <v>35546174.535206072</v>
      </c>
      <c r="I37" s="1035">
        <f>SUM($L$35-$J$37)*I32</f>
        <v>8253100.1525477758</v>
      </c>
      <c r="J37" s="1035"/>
      <c r="K37" s="1035"/>
      <c r="L37" s="1036">
        <f>SUM(D37+G37+J37+K37)</f>
        <v>138973514.92207986</v>
      </c>
      <c r="M37" s="1015"/>
      <c r="O37" s="976" t="s">
        <v>325</v>
      </c>
      <c r="P37" s="993">
        <f t="shared" si="8"/>
        <v>425.95</v>
      </c>
      <c r="Q37" s="979"/>
      <c r="R37" s="979"/>
      <c r="S37" s="979">
        <v>425.95</v>
      </c>
      <c r="T37" s="994">
        <f>SUM(S37/(S35+S37))</f>
        <v>0.38996411176621382</v>
      </c>
      <c r="U37" s="994"/>
      <c r="V37" s="979"/>
      <c r="W37" s="995">
        <f t="shared" si="9"/>
        <v>425.95</v>
      </c>
      <c r="X37" s="1040"/>
    </row>
    <row r="38" spans="1:25" s="976" customFormat="1" ht="17.25" customHeight="1">
      <c r="A38" s="980"/>
      <c r="B38" s="1041"/>
      <c r="D38" s="978"/>
      <c r="E38" s="978"/>
      <c r="F38" s="978"/>
      <c r="G38" s="978"/>
      <c r="H38" s="978"/>
      <c r="I38" s="978"/>
      <c r="J38" s="978"/>
      <c r="K38" s="978"/>
      <c r="L38" s="992"/>
      <c r="M38" s="982"/>
      <c r="O38" s="976" t="s">
        <v>339</v>
      </c>
      <c r="P38" s="993">
        <f t="shared" si="8"/>
        <v>1444.09</v>
      </c>
      <c r="Q38" s="979"/>
      <c r="R38" s="979"/>
      <c r="S38" s="979">
        <v>1444.09</v>
      </c>
      <c r="T38" s="994">
        <f>SUM(S38/(S36+S38))</f>
        <v>0.28987837509610154</v>
      </c>
      <c r="U38" s="994"/>
      <c r="V38" s="979"/>
      <c r="W38" s="995">
        <f t="shared" si="9"/>
        <v>1444.09</v>
      </c>
      <c r="X38" s="1040"/>
    </row>
    <row r="39" spans="1:25" s="976" customFormat="1" ht="17.25" customHeight="1" thickBot="1">
      <c r="A39" s="980"/>
      <c r="B39" s="1042" t="s">
        <v>369</v>
      </c>
      <c r="C39" s="1043"/>
      <c r="D39" s="1044" t="s">
        <v>370</v>
      </c>
      <c r="E39" s="1044" t="s">
        <v>322</v>
      </c>
      <c r="F39" s="1044" t="s">
        <v>323</v>
      </c>
      <c r="G39" s="1044" t="s">
        <v>371</v>
      </c>
      <c r="H39" s="1044" t="s">
        <v>324</v>
      </c>
      <c r="I39" s="1044" t="s">
        <v>325</v>
      </c>
      <c r="J39" s="1044" t="s">
        <v>219</v>
      </c>
      <c r="K39" s="1044" t="s">
        <v>326</v>
      </c>
      <c r="L39" s="1045" t="s">
        <v>327</v>
      </c>
      <c r="M39" s="987"/>
      <c r="O39" s="1001" t="s">
        <v>327</v>
      </c>
      <c r="P39" s="1002">
        <f>SUM(P33:P38)</f>
        <v>29378.530000000002</v>
      </c>
      <c r="Q39" s="1002">
        <f>SUM(Q33:Q38)</f>
        <v>23304.54</v>
      </c>
      <c r="R39" s="1002"/>
      <c r="S39" s="1002">
        <f>SUM(S33:S38)</f>
        <v>6073.99</v>
      </c>
      <c r="T39" s="1002"/>
      <c r="U39" s="1002"/>
      <c r="V39" s="1002">
        <f>SUM(V33:V38)</f>
        <v>666.41</v>
      </c>
      <c r="W39" s="1002">
        <f>SUM(W33:W38)</f>
        <v>30044.940000000002</v>
      </c>
      <c r="X39" s="1040"/>
    </row>
    <row r="40" spans="1:25" s="976" customFormat="1" ht="17.25" customHeight="1">
      <c r="A40" s="980"/>
      <c r="B40" s="998" t="s">
        <v>372</v>
      </c>
      <c r="C40" s="999"/>
      <c r="D40" s="978">
        <f>SUM(E40:F40)</f>
        <v>96317757</v>
      </c>
      <c r="E40" s="978">
        <f>97733630-F40-204394-13628-936798-144789-116264</f>
        <v>85685192</v>
      </c>
      <c r="F40" s="978">
        <v>10632565</v>
      </c>
      <c r="G40" s="978"/>
      <c r="H40" s="978"/>
      <c r="I40" s="978"/>
      <c r="J40" s="978"/>
      <c r="K40" s="978"/>
      <c r="L40" s="992">
        <f>SUM(D40+G40+J40+K40)</f>
        <v>96317757</v>
      </c>
      <c r="M40" s="982"/>
      <c r="P40" s="1046" t="s">
        <v>324</v>
      </c>
      <c r="Q40" s="1046" t="s">
        <v>325</v>
      </c>
      <c r="R40" s="1046" t="s">
        <v>322</v>
      </c>
      <c r="S40" s="1046" t="s">
        <v>323</v>
      </c>
      <c r="T40" s="1047"/>
      <c r="U40" s="1048"/>
      <c r="V40" s="1048"/>
      <c r="W40" s="1040"/>
      <c r="X40" s="1040"/>
    </row>
    <row r="41" spans="1:25" s="976" customFormat="1" ht="17.25" customHeight="1">
      <c r="A41" s="980"/>
      <c r="B41" s="998" t="s">
        <v>373</v>
      </c>
      <c r="C41" s="999"/>
      <c r="D41" s="978"/>
      <c r="E41" s="978"/>
      <c r="F41" s="978"/>
      <c r="G41" s="978">
        <f>SUM(H41:I41)</f>
        <v>47579128</v>
      </c>
      <c r="H41" s="978">
        <f>47763274-I41-96411-6232-442168-71565+486993-54763</f>
        <v>40969835</v>
      </c>
      <c r="I41" s="978">
        <v>6609293</v>
      </c>
      <c r="J41" s="978"/>
      <c r="K41" s="978"/>
      <c r="L41" s="992">
        <f>SUM(D41+G41+J41+K41)</f>
        <v>47579128</v>
      </c>
      <c r="M41" s="982"/>
      <c r="O41" s="1049"/>
      <c r="P41" s="1050">
        <f>(21587269+4980822)/35874144</f>
        <v>0.74059163613771528</v>
      </c>
      <c r="Q41" s="1050">
        <f>(7880399+1425655)/35874144</f>
        <v>0.25940839173751434</v>
      </c>
      <c r="R41" s="1050">
        <f>(8331748+51256201)/81122948</f>
        <v>0.73453875221595744</v>
      </c>
      <c r="S41" s="1050">
        <f>(19304792+2230207)/81122948</f>
        <v>0.26546124778404256</v>
      </c>
      <c r="T41" s="1051"/>
      <c r="U41" s="1052"/>
      <c r="V41" s="1052"/>
      <c r="W41" s="1049"/>
      <c r="X41" s="1049"/>
      <c r="Y41" s="1049"/>
    </row>
    <row r="42" spans="1:25" s="1049" customFormat="1" ht="17.25" customHeight="1">
      <c r="A42" s="980"/>
      <c r="B42" s="998" t="s">
        <v>374</v>
      </c>
      <c r="C42" s="999"/>
      <c r="D42" s="978"/>
      <c r="E42" s="978"/>
      <c r="F42" s="978"/>
      <c r="G42" s="978"/>
      <c r="H42" s="978"/>
      <c r="I42" s="978"/>
      <c r="J42" s="978">
        <f>32589311-50062-126-228112-136915+353527-28328</f>
        <v>32499295</v>
      </c>
      <c r="K42" s="978"/>
      <c r="L42" s="992">
        <f>SUM(D42+G42+J42+K42)</f>
        <v>32499295</v>
      </c>
      <c r="M42" s="982"/>
      <c r="N42" s="976"/>
      <c r="P42" s="1051"/>
      <c r="Q42" s="1051"/>
      <c r="R42" s="1051"/>
      <c r="S42" s="1051"/>
      <c r="T42" s="1051"/>
      <c r="U42" s="1052"/>
      <c r="V42" s="1052"/>
    </row>
    <row r="43" spans="1:25" s="1049" customFormat="1" ht="17.25" customHeight="1">
      <c r="A43" s="980"/>
      <c r="B43" s="998" t="s">
        <v>375</v>
      </c>
      <c r="C43" s="999"/>
      <c r="D43" s="978">
        <f>SUM(E43:F43)</f>
        <v>0</v>
      </c>
      <c r="E43" s="978">
        <f>0*59.02%</f>
        <v>0</v>
      </c>
      <c r="F43" s="978"/>
      <c r="G43" s="978">
        <f>SUM(H43:I43)</f>
        <v>0</v>
      </c>
      <c r="H43" s="978">
        <f>0*28.71%</f>
        <v>0</v>
      </c>
      <c r="I43" s="978"/>
      <c r="J43" s="978">
        <f>0*12.27%</f>
        <v>0</v>
      </c>
      <c r="K43" s="978"/>
      <c r="L43" s="992">
        <f>SUM(D43+G43+J43+K43)</f>
        <v>0</v>
      </c>
      <c r="M43" s="982"/>
      <c r="O43" s="976"/>
      <c r="P43" s="1047"/>
      <c r="Q43" s="1047"/>
      <c r="R43" s="1047"/>
      <c r="S43" s="1047"/>
      <c r="T43" s="1047"/>
      <c r="U43" s="1048"/>
      <c r="V43" s="1048"/>
      <c r="W43" s="1040"/>
      <c r="X43" s="1040"/>
      <c r="Y43" s="976"/>
    </row>
    <row r="44" spans="1:25" s="976" customFormat="1" ht="17.25" customHeight="1">
      <c r="A44" s="980"/>
      <c r="B44" s="998" t="s">
        <v>376</v>
      </c>
      <c r="C44" s="999"/>
      <c r="D44" s="978">
        <f>E44+F44</f>
        <v>0</v>
      </c>
      <c r="E44" s="978">
        <f>0*59.02%</f>
        <v>0</v>
      </c>
      <c r="F44" s="978"/>
      <c r="G44" s="978">
        <f>H44+I44</f>
        <v>0</v>
      </c>
      <c r="H44" s="978">
        <f>0*28.71%</f>
        <v>0</v>
      </c>
      <c r="I44" s="978"/>
      <c r="J44" s="978">
        <f>0*12.27%</f>
        <v>0</v>
      </c>
      <c r="K44" s="978"/>
      <c r="L44" s="992">
        <f>SUM(D44+G44+J44+K44)</f>
        <v>0</v>
      </c>
      <c r="M44" s="982"/>
      <c r="N44" s="1049"/>
      <c r="P44" s="1047"/>
      <c r="Q44" s="1047"/>
      <c r="R44" s="1047"/>
      <c r="S44" s="1047"/>
      <c r="T44" s="1047"/>
      <c r="U44" s="1048"/>
      <c r="V44" s="1048"/>
      <c r="W44" s="1040"/>
      <c r="X44" s="1040"/>
    </row>
    <row r="45" spans="1:25" s="976" customFormat="1" ht="17.25" customHeight="1">
      <c r="A45" s="980"/>
      <c r="B45" s="998" t="s">
        <v>326</v>
      </c>
      <c r="C45" s="999"/>
      <c r="D45" s="978"/>
      <c r="E45" s="978"/>
      <c r="F45" s="978"/>
      <c r="G45" s="978"/>
      <c r="H45" s="978"/>
      <c r="I45" s="978"/>
      <c r="J45" s="978"/>
      <c r="K45" s="978"/>
      <c r="L45" s="992"/>
      <c r="M45" s="982"/>
      <c r="O45" s="1049" t="s">
        <v>293</v>
      </c>
      <c r="P45" s="1051" t="s">
        <v>322</v>
      </c>
      <c r="Q45" s="1051">
        <v>61988954</v>
      </c>
      <c r="R45" s="1053">
        <f>Q45/Q49</f>
        <v>0.5831617285845011</v>
      </c>
      <c r="S45" s="1054">
        <f>6070000*R45</f>
        <v>3539791.6925079217</v>
      </c>
      <c r="T45" s="1047"/>
      <c r="U45" s="1048"/>
      <c r="V45" s="1048"/>
      <c r="W45" s="1040"/>
      <c r="X45" s="1040"/>
    </row>
    <row r="46" spans="1:25" s="976" customFormat="1" ht="17.25" customHeight="1">
      <c r="A46" s="980"/>
      <c r="B46" s="1011" t="s">
        <v>377</v>
      </c>
      <c r="C46" s="1022"/>
      <c r="D46" s="978"/>
      <c r="E46" s="978"/>
      <c r="F46" s="978"/>
      <c r="G46" s="978"/>
      <c r="H46" s="978"/>
      <c r="I46" s="978"/>
      <c r="J46" s="978"/>
      <c r="K46" s="978">
        <f>3226250+213615+265554</f>
        <v>3705419</v>
      </c>
      <c r="L46" s="992">
        <f t="shared" ref="L46:L51" si="10">SUM(D46:K46)</f>
        <v>3705419</v>
      </c>
      <c r="M46" s="982"/>
      <c r="P46" s="1047" t="s">
        <v>324</v>
      </c>
      <c r="Q46" s="1047">
        <v>29200571</v>
      </c>
      <c r="R46" s="1055">
        <f>Q46/Q49</f>
        <v>0.27470467496538908</v>
      </c>
      <c r="S46" s="1054">
        <f>6070000*R46</f>
        <v>1667457.3770399117</v>
      </c>
      <c r="T46" s="1047"/>
      <c r="U46" s="1048"/>
      <c r="V46" s="1048"/>
      <c r="W46" s="1040"/>
      <c r="X46" s="1040"/>
    </row>
    <row r="47" spans="1:25" s="976" customFormat="1" ht="17">
      <c r="A47" s="980"/>
      <c r="B47" s="1011" t="s">
        <v>378</v>
      </c>
      <c r="C47" s="1022"/>
      <c r="D47" s="978"/>
      <c r="E47" s="978"/>
      <c r="F47" s="978"/>
      <c r="G47" s="978"/>
      <c r="H47" s="978"/>
      <c r="I47" s="978"/>
      <c r="J47" s="978"/>
      <c r="K47" s="978">
        <f>4316354+10441+193156</f>
        <v>4519951</v>
      </c>
      <c r="L47" s="992">
        <f t="shared" si="10"/>
        <v>4519951</v>
      </c>
      <c r="M47" s="982"/>
      <c r="P47" s="1047" t="s">
        <v>379</v>
      </c>
      <c r="Q47" s="1047">
        <v>15108524</v>
      </c>
      <c r="R47" s="1055">
        <f>Q47/Q49</f>
        <v>0.14213359645010981</v>
      </c>
      <c r="S47" s="1054">
        <f>6070000*R47</f>
        <v>862750.93045216659</v>
      </c>
      <c r="T47" s="1047"/>
      <c r="U47" s="1048"/>
      <c r="V47" s="1048"/>
      <c r="W47" s="1040"/>
      <c r="X47" s="1040"/>
    </row>
    <row r="48" spans="1:25" s="976" customFormat="1" ht="17.25" hidden="1" customHeight="1">
      <c r="A48" s="980"/>
      <c r="B48" s="1011" t="s">
        <v>380</v>
      </c>
      <c r="C48" s="1022"/>
      <c r="D48" s="978"/>
      <c r="E48" s="978"/>
      <c r="F48" s="978"/>
      <c r="G48" s="978"/>
      <c r="H48" s="978"/>
      <c r="I48" s="978"/>
      <c r="K48" s="978">
        <v>0</v>
      </c>
      <c r="L48" s="992">
        <f t="shared" si="10"/>
        <v>0</v>
      </c>
      <c r="M48" s="982"/>
      <c r="P48" s="1047"/>
      <c r="Q48" s="1047"/>
      <c r="R48" s="1047"/>
      <c r="S48" s="1047"/>
      <c r="T48" s="1047"/>
      <c r="U48" s="1048"/>
      <c r="V48" s="1048"/>
      <c r="W48" s="1040"/>
      <c r="X48" s="1040"/>
    </row>
    <row r="49" spans="1:131" s="976" customFormat="1" ht="17.25" customHeight="1">
      <c r="A49" s="980"/>
      <c r="B49" s="1011" t="s">
        <v>381</v>
      </c>
      <c r="C49" s="1022"/>
      <c r="D49" s="978"/>
      <c r="E49" s="978"/>
      <c r="F49" s="978"/>
      <c r="G49" s="978"/>
      <c r="H49" s="978"/>
      <c r="I49" s="978"/>
      <c r="J49" s="978"/>
      <c r="K49" s="978">
        <v>1970000</v>
      </c>
      <c r="L49" s="992">
        <f t="shared" si="10"/>
        <v>1970000</v>
      </c>
      <c r="M49" s="982"/>
      <c r="P49" s="1047"/>
      <c r="Q49" s="1047">
        <f>SUM(Q45:Q48)</f>
        <v>106298049</v>
      </c>
      <c r="R49" s="1047"/>
      <c r="S49" s="1047"/>
      <c r="T49" s="1047"/>
      <c r="U49" s="1048"/>
      <c r="V49" s="1048"/>
      <c r="W49" s="1040"/>
      <c r="X49" s="1040"/>
    </row>
    <row r="50" spans="1:131" s="976" customFormat="1" ht="17.25" customHeight="1">
      <c r="A50" s="980"/>
      <c r="B50" s="1011" t="s">
        <v>382</v>
      </c>
      <c r="C50" s="1022"/>
      <c r="D50" s="978"/>
      <c r="E50" s="978"/>
      <c r="F50" s="978"/>
      <c r="G50" s="978"/>
      <c r="H50" s="978"/>
      <c r="I50" s="978"/>
      <c r="J50" s="978"/>
      <c r="K50" s="978">
        <v>125000</v>
      </c>
      <c r="L50" s="992">
        <f t="shared" si="10"/>
        <v>125000</v>
      </c>
      <c r="M50" s="982"/>
      <c r="O50" s="977"/>
      <c r="P50" s="1047"/>
      <c r="Q50" s="1047"/>
      <c r="R50" s="1047"/>
      <c r="S50" s="1047"/>
      <c r="T50" s="1047"/>
      <c r="U50" s="1048"/>
      <c r="V50" s="1048"/>
      <c r="W50" s="1040"/>
      <c r="X50" s="1040"/>
    </row>
    <row r="51" spans="1:131" s="977" customFormat="1" ht="17">
      <c r="A51" s="980"/>
      <c r="B51" s="1011" t="s">
        <v>383</v>
      </c>
      <c r="C51" s="1022"/>
      <c r="D51" s="978"/>
      <c r="E51" s="978"/>
      <c r="F51" s="978"/>
      <c r="G51" s="978"/>
      <c r="H51" s="978"/>
      <c r="I51" s="978"/>
      <c r="J51" s="978"/>
      <c r="K51" s="978">
        <v>1750000</v>
      </c>
      <c r="L51" s="992">
        <f t="shared" si="10"/>
        <v>1750000</v>
      </c>
      <c r="M51" s="982"/>
      <c r="N51" s="976"/>
      <c r="P51" s="976"/>
      <c r="Q51" s="976"/>
      <c r="R51" s="976"/>
      <c r="S51" s="976"/>
      <c r="T51" s="976"/>
      <c r="U51" s="993"/>
      <c r="V51" s="993"/>
      <c r="Z51" s="976"/>
      <c r="AA51" s="976"/>
      <c r="AB51" s="976"/>
      <c r="AC51" s="976"/>
      <c r="AD51" s="976"/>
      <c r="AE51" s="976"/>
      <c r="AF51" s="976"/>
      <c r="AG51" s="976"/>
      <c r="AH51" s="976"/>
      <c r="AI51" s="976"/>
      <c r="AJ51" s="976"/>
      <c r="AK51" s="976"/>
      <c r="AL51" s="976"/>
      <c r="AM51" s="976"/>
      <c r="AN51" s="976"/>
      <c r="AO51" s="976"/>
      <c r="AP51" s="976"/>
      <c r="AQ51" s="976"/>
      <c r="AR51" s="976"/>
      <c r="AS51" s="976"/>
      <c r="AT51" s="976"/>
      <c r="AU51" s="976"/>
      <c r="AV51" s="976"/>
      <c r="AW51" s="976"/>
      <c r="AX51" s="976"/>
      <c r="AY51" s="976"/>
      <c r="AZ51" s="976"/>
      <c r="BA51" s="976"/>
      <c r="BB51" s="976"/>
      <c r="BC51" s="976"/>
      <c r="BD51" s="976"/>
      <c r="BE51" s="976"/>
      <c r="BF51" s="976"/>
      <c r="BG51" s="976"/>
      <c r="BH51" s="976"/>
      <c r="BI51" s="976"/>
      <c r="BJ51" s="976"/>
      <c r="BK51" s="976"/>
      <c r="BL51" s="976"/>
      <c r="BM51" s="976"/>
      <c r="BN51" s="976"/>
      <c r="BO51" s="976"/>
      <c r="BP51" s="976"/>
      <c r="BQ51" s="976"/>
      <c r="BR51" s="976"/>
      <c r="BS51" s="976"/>
      <c r="BT51" s="976"/>
      <c r="BU51" s="976"/>
      <c r="BV51" s="976"/>
      <c r="BW51" s="976"/>
      <c r="BX51" s="976"/>
      <c r="BY51" s="976"/>
      <c r="BZ51" s="976"/>
      <c r="CA51" s="976"/>
      <c r="CB51" s="976"/>
      <c r="CC51" s="976"/>
      <c r="CD51" s="976"/>
      <c r="CE51" s="976"/>
      <c r="CF51" s="976"/>
      <c r="CG51" s="976"/>
      <c r="CH51" s="976"/>
      <c r="CI51" s="976"/>
      <c r="CJ51" s="976"/>
      <c r="CK51" s="976"/>
      <c r="CL51" s="976"/>
      <c r="CM51" s="976"/>
      <c r="CN51" s="976"/>
      <c r="CO51" s="976"/>
      <c r="CP51" s="976"/>
      <c r="CQ51" s="976"/>
      <c r="CR51" s="976"/>
      <c r="CS51" s="976"/>
      <c r="CT51" s="976"/>
      <c r="CU51" s="976"/>
      <c r="CV51" s="976"/>
      <c r="CW51" s="976"/>
      <c r="CX51" s="976"/>
      <c r="CY51" s="976"/>
      <c r="CZ51" s="976"/>
      <c r="DA51" s="976"/>
      <c r="DB51" s="976"/>
      <c r="DC51" s="976"/>
      <c r="DD51" s="976"/>
      <c r="DE51" s="976"/>
      <c r="DF51" s="976"/>
      <c r="DG51" s="976"/>
      <c r="DH51" s="976"/>
      <c r="DI51" s="976"/>
      <c r="DJ51" s="976"/>
      <c r="DK51" s="976"/>
      <c r="DL51" s="976"/>
      <c r="DM51" s="976"/>
      <c r="DN51" s="976"/>
      <c r="DO51" s="976"/>
      <c r="DP51" s="976"/>
      <c r="DQ51" s="976"/>
      <c r="DR51" s="976"/>
      <c r="DS51" s="976"/>
      <c r="DT51" s="976"/>
      <c r="DU51" s="976"/>
      <c r="DV51" s="976"/>
      <c r="DW51" s="976"/>
      <c r="DX51" s="976"/>
      <c r="DY51" s="976"/>
      <c r="DZ51" s="976"/>
      <c r="EA51" s="976"/>
    </row>
    <row r="52" spans="1:131" s="977" customFormat="1" ht="17">
      <c r="A52" s="980"/>
      <c r="B52" s="1056" t="s">
        <v>384</v>
      </c>
      <c r="C52" s="1057"/>
      <c r="D52" s="1000">
        <f t="shared" ref="D52:L52" si="11">SUM(D40:D51)</f>
        <v>96317757</v>
      </c>
      <c r="E52" s="1000">
        <f t="shared" si="11"/>
        <v>85685192</v>
      </c>
      <c r="F52" s="1000">
        <f t="shared" si="11"/>
        <v>10632565</v>
      </c>
      <c r="G52" s="1000">
        <f t="shared" si="11"/>
        <v>47579128</v>
      </c>
      <c r="H52" s="1000">
        <f t="shared" si="11"/>
        <v>40969835</v>
      </c>
      <c r="I52" s="1000">
        <f t="shared" si="11"/>
        <v>6609293</v>
      </c>
      <c r="J52" s="1000">
        <f t="shared" si="11"/>
        <v>32499295</v>
      </c>
      <c r="K52" s="1000">
        <f t="shared" si="11"/>
        <v>12070370</v>
      </c>
      <c r="L52" s="1058">
        <f t="shared" si="11"/>
        <v>188466550</v>
      </c>
      <c r="M52" s="982"/>
      <c r="N52" s="976"/>
      <c r="O52" s="976"/>
      <c r="P52" s="976"/>
      <c r="Q52" s="976"/>
      <c r="R52" s="976"/>
      <c r="S52" s="976"/>
      <c r="T52" s="976"/>
      <c r="U52" s="979"/>
      <c r="V52" s="979"/>
      <c r="W52" s="976"/>
      <c r="X52" s="976"/>
    </row>
    <row r="53" spans="1:131" s="976" customFormat="1" ht="20">
      <c r="A53" s="980"/>
      <c r="B53" s="1041" t="s">
        <v>385</v>
      </c>
      <c r="D53" s="994">
        <f t="shared" ref="D53:K53" si="12">SUM(D52/$L$52)</f>
        <v>0.51106022262305961</v>
      </c>
      <c r="E53" s="994">
        <f t="shared" si="12"/>
        <v>0.45464403099648187</v>
      </c>
      <c r="F53" s="994">
        <f t="shared" si="12"/>
        <v>5.6416191626577766E-2</v>
      </c>
      <c r="G53" s="994">
        <f t="shared" si="12"/>
        <v>0.25245396596902742</v>
      </c>
      <c r="H53" s="994">
        <f t="shared" si="12"/>
        <v>0.21738518055325998</v>
      </c>
      <c r="I53" s="994">
        <f t="shared" si="12"/>
        <v>3.5068785415767412E-2</v>
      </c>
      <c r="J53" s="994">
        <f t="shared" si="12"/>
        <v>0.17244065326181224</v>
      </c>
      <c r="K53" s="994">
        <f t="shared" si="12"/>
        <v>6.4045158146100734E-2</v>
      </c>
      <c r="L53" s="1059"/>
      <c r="M53" s="1060"/>
      <c r="N53" s="977"/>
      <c r="O53" s="1061" t="s">
        <v>386</v>
      </c>
      <c r="P53" s="977"/>
      <c r="Q53" s="977"/>
      <c r="R53" s="977"/>
      <c r="S53" s="977"/>
      <c r="T53" s="977"/>
      <c r="U53" s="979"/>
      <c r="V53" s="979"/>
      <c r="Z53" s="977"/>
      <c r="AA53" s="977"/>
      <c r="AB53" s="977"/>
      <c r="AC53" s="977"/>
      <c r="AD53" s="977"/>
      <c r="AE53" s="977"/>
      <c r="AF53" s="977"/>
      <c r="AG53" s="977"/>
      <c r="AH53" s="977"/>
      <c r="AI53" s="977"/>
      <c r="AJ53" s="977"/>
      <c r="AK53" s="977"/>
      <c r="AL53" s="977"/>
      <c r="AM53" s="977"/>
      <c r="AN53" s="977"/>
      <c r="AO53" s="977"/>
      <c r="AP53" s="977"/>
      <c r="AQ53" s="977"/>
      <c r="AR53" s="977"/>
      <c r="AS53" s="977"/>
      <c r="AT53" s="977"/>
      <c r="AU53" s="977"/>
      <c r="AV53" s="977"/>
      <c r="AW53" s="977"/>
      <c r="AX53" s="977"/>
      <c r="AY53" s="977"/>
      <c r="AZ53" s="977"/>
      <c r="BA53" s="977"/>
      <c r="BB53" s="977"/>
      <c r="BC53" s="977"/>
      <c r="BD53" s="977"/>
      <c r="BE53" s="977"/>
      <c r="BF53" s="977"/>
      <c r="BG53" s="977"/>
      <c r="BH53" s="977"/>
      <c r="BI53" s="977"/>
      <c r="BJ53" s="977"/>
      <c r="BK53" s="977"/>
      <c r="BL53" s="977"/>
      <c r="BM53" s="977"/>
      <c r="BN53" s="977"/>
      <c r="BO53" s="977"/>
      <c r="BP53" s="977"/>
      <c r="BQ53" s="977"/>
      <c r="BR53" s="977"/>
      <c r="BS53" s="977"/>
      <c r="BT53" s="977"/>
      <c r="BU53" s="977"/>
      <c r="BV53" s="977"/>
      <c r="BW53" s="977"/>
      <c r="BX53" s="977"/>
      <c r="BY53" s="977"/>
      <c r="BZ53" s="977"/>
      <c r="CA53" s="977"/>
      <c r="CB53" s="977"/>
      <c r="CC53" s="977"/>
      <c r="CD53" s="977"/>
      <c r="CE53" s="977"/>
      <c r="CF53" s="977"/>
      <c r="CG53" s="977"/>
      <c r="CH53" s="977"/>
      <c r="CI53" s="977"/>
      <c r="CJ53" s="977"/>
      <c r="CK53" s="977"/>
      <c r="CL53" s="977"/>
      <c r="CM53" s="977"/>
      <c r="CN53" s="977"/>
      <c r="CO53" s="977"/>
      <c r="CP53" s="977"/>
      <c r="CQ53" s="977"/>
      <c r="CR53" s="977"/>
      <c r="CS53" s="977"/>
      <c r="CT53" s="977"/>
      <c r="CU53" s="977"/>
      <c r="CV53" s="977"/>
      <c r="CW53" s="977"/>
      <c r="CX53" s="977"/>
      <c r="CY53" s="977"/>
      <c r="CZ53" s="977"/>
      <c r="DA53" s="977"/>
      <c r="DB53" s="977"/>
      <c r="DC53" s="977"/>
      <c r="DD53" s="977"/>
      <c r="DE53" s="977"/>
      <c r="DF53" s="977"/>
      <c r="DG53" s="977"/>
      <c r="DH53" s="977"/>
      <c r="DI53" s="977"/>
      <c r="DJ53" s="977"/>
      <c r="DK53" s="977"/>
      <c r="DL53" s="977"/>
      <c r="DM53" s="977"/>
      <c r="DN53" s="977"/>
      <c r="DO53" s="977"/>
      <c r="DP53" s="977"/>
      <c r="DQ53" s="977"/>
      <c r="DR53" s="977"/>
      <c r="DS53" s="977"/>
      <c r="DT53" s="977"/>
      <c r="DU53" s="977"/>
      <c r="DV53" s="977"/>
      <c r="DW53" s="977"/>
      <c r="DX53" s="977"/>
      <c r="DY53" s="977"/>
      <c r="DZ53" s="977"/>
      <c r="EA53" s="977"/>
    </row>
    <row r="54" spans="1:131" s="976" customFormat="1" ht="20">
      <c r="A54" s="980"/>
      <c r="B54" s="1041"/>
      <c r="D54" s="978"/>
      <c r="E54" s="978"/>
      <c r="F54" s="978"/>
      <c r="G54" s="978"/>
      <c r="H54" s="978"/>
      <c r="I54" s="978"/>
      <c r="J54" s="978"/>
      <c r="K54" s="978"/>
      <c r="L54" s="992"/>
      <c r="M54" s="982"/>
      <c r="N54" s="977"/>
      <c r="O54" s="1061" t="s">
        <v>387</v>
      </c>
      <c r="P54" s="977"/>
      <c r="Q54" s="977"/>
      <c r="R54" s="977"/>
      <c r="S54" s="977"/>
      <c r="T54" s="977"/>
      <c r="U54" s="979"/>
      <c r="V54" s="979"/>
    </row>
    <row r="55" spans="1:131" s="976" customFormat="1" ht="21" thickBot="1">
      <c r="A55" s="980"/>
      <c r="B55" s="1062" t="s">
        <v>388</v>
      </c>
      <c r="C55" s="1063"/>
      <c r="D55" s="1064">
        <f t="shared" ref="D55:I55" si="13">SUM(D37-D52)</f>
        <v>-1143516.765673995</v>
      </c>
      <c r="E55" s="1064">
        <f t="shared" si="13"/>
        <v>-8196512.0480775386</v>
      </c>
      <c r="F55" s="1064">
        <f t="shared" si="13"/>
        <v>7052995.2824035399</v>
      </c>
      <c r="G55" s="1064">
        <f t="shared" si="13"/>
        <v>-3779853.3122461438</v>
      </c>
      <c r="H55" s="1064">
        <f t="shared" si="13"/>
        <v>-5423660.464793928</v>
      </c>
      <c r="I55" s="1064">
        <f t="shared" si="13"/>
        <v>1643807.1525477758</v>
      </c>
      <c r="J55" s="1064"/>
      <c r="K55" s="1064"/>
      <c r="L55" s="1065">
        <f>SUM(D55+G55+J55+K55)</f>
        <v>-4923370.0779201388</v>
      </c>
      <c r="M55" s="1028"/>
      <c r="N55" s="977"/>
      <c r="O55" s="1061"/>
      <c r="P55" s="977"/>
      <c r="Q55" s="977"/>
      <c r="R55" s="977"/>
      <c r="S55" s="977"/>
      <c r="T55" s="977"/>
      <c r="U55" s="979"/>
      <c r="V55" s="979"/>
    </row>
    <row r="56" spans="1:131" s="976" customFormat="1" ht="3.75" customHeight="1" thickTop="1">
      <c r="A56" s="980"/>
      <c r="B56" s="1066"/>
      <c r="C56" s="1067"/>
      <c r="D56" s="1028"/>
      <c r="E56" s="1028"/>
      <c r="F56" s="1028"/>
      <c r="G56" s="1028"/>
      <c r="H56" s="1028"/>
      <c r="I56" s="1028"/>
      <c r="J56" s="1028"/>
      <c r="K56" s="1028"/>
      <c r="L56" s="1028"/>
      <c r="M56" s="1028"/>
      <c r="O56" s="1061" t="s">
        <v>389</v>
      </c>
      <c r="P56" s="977"/>
      <c r="Q56" s="977"/>
      <c r="R56" s="977"/>
      <c r="S56" s="977"/>
      <c r="T56" s="977"/>
      <c r="U56" s="979"/>
      <c r="V56" s="979"/>
    </row>
    <row r="57" spans="1:131" s="976" customFormat="1" ht="20">
      <c r="B57" s="999"/>
      <c r="D57" s="978"/>
      <c r="E57" s="978"/>
      <c r="F57" s="978"/>
      <c r="G57" s="978"/>
      <c r="H57" s="978"/>
      <c r="I57" s="978"/>
      <c r="J57" s="978"/>
      <c r="K57" s="978"/>
      <c r="L57" s="978"/>
      <c r="M57" s="978"/>
      <c r="O57" s="1061"/>
      <c r="P57" s="977"/>
      <c r="Q57" s="977"/>
      <c r="R57" s="977"/>
      <c r="S57" s="977"/>
      <c r="T57" s="977"/>
      <c r="U57" s="979"/>
      <c r="V57" s="979"/>
    </row>
    <row r="58" spans="1:131" s="976" customFormat="1" ht="20">
      <c r="B58" s="999" t="s">
        <v>357</v>
      </c>
      <c r="C58" s="999"/>
      <c r="D58" s="978"/>
      <c r="E58" s="991"/>
      <c r="F58" s="991"/>
      <c r="G58" s="991"/>
      <c r="H58" s="991"/>
      <c r="I58" s="991"/>
      <c r="J58" s="991"/>
      <c r="K58" s="991"/>
      <c r="L58" s="978"/>
      <c r="M58" s="978"/>
      <c r="O58" s="1061" t="s">
        <v>390</v>
      </c>
      <c r="P58" s="973"/>
      <c r="Q58" s="973"/>
      <c r="R58" s="973"/>
      <c r="S58" s="973"/>
      <c r="T58" s="973"/>
      <c r="U58" s="979"/>
      <c r="V58" s="979"/>
    </row>
    <row r="59" spans="1:131" s="976" customFormat="1" ht="20">
      <c r="B59" s="1022" t="s">
        <v>391</v>
      </c>
      <c r="C59" s="1022"/>
      <c r="D59" s="978"/>
      <c r="E59" s="991"/>
      <c r="F59" s="991"/>
      <c r="G59" s="991">
        <f>SUM(H59:I59)</f>
        <v>3159472</v>
      </c>
      <c r="H59" s="991">
        <v>3159472</v>
      </c>
      <c r="I59" s="991"/>
      <c r="J59" s="991"/>
      <c r="K59" s="991"/>
      <c r="L59" s="978">
        <f>SUM(D59+G59+J59+K59)</f>
        <v>3159472</v>
      </c>
      <c r="M59" s="978"/>
      <c r="O59" s="1061"/>
      <c r="P59" s="973"/>
      <c r="Q59" s="973"/>
      <c r="R59" s="973"/>
      <c r="S59" s="973"/>
      <c r="T59" s="973"/>
      <c r="U59" s="1008"/>
      <c r="V59" s="1008"/>
      <c r="W59" s="1016"/>
      <c r="X59" s="1016"/>
    </row>
    <row r="60" spans="1:131" s="1016" customFormat="1" ht="20">
      <c r="A60" s="976"/>
      <c r="B60" s="1022" t="s">
        <v>392</v>
      </c>
      <c r="C60" s="1022"/>
      <c r="D60" s="978"/>
      <c r="E60" s="991"/>
      <c r="F60" s="991"/>
      <c r="G60" s="991"/>
      <c r="H60" s="991"/>
      <c r="I60" s="991"/>
      <c r="J60" s="991"/>
      <c r="K60" s="991">
        <v>293254</v>
      </c>
      <c r="L60" s="978">
        <f>SUM(D60+G60+J60+K60)</f>
        <v>293254</v>
      </c>
      <c r="M60" s="978"/>
      <c r="N60" s="976"/>
      <c r="O60" s="1061" t="s">
        <v>393</v>
      </c>
      <c r="P60" s="973"/>
      <c r="Q60" s="973"/>
      <c r="R60" s="973"/>
      <c r="S60" s="973"/>
      <c r="T60" s="973"/>
      <c r="U60" s="1008"/>
      <c r="V60" s="1008"/>
      <c r="Z60" s="976"/>
      <c r="AA60" s="976"/>
      <c r="AB60" s="976"/>
      <c r="AC60" s="976"/>
      <c r="AD60" s="976"/>
      <c r="AE60" s="976"/>
      <c r="AF60" s="976"/>
      <c r="AG60" s="976"/>
      <c r="AH60" s="976"/>
      <c r="AI60" s="976"/>
      <c r="AJ60" s="976"/>
      <c r="AK60" s="976"/>
      <c r="AL60" s="976"/>
      <c r="AM60" s="976"/>
      <c r="AN60" s="976"/>
      <c r="AO60" s="976"/>
      <c r="AP60" s="976"/>
      <c r="AQ60" s="976"/>
      <c r="AR60" s="976"/>
      <c r="AS60" s="976"/>
      <c r="AT60" s="976"/>
      <c r="AU60" s="976"/>
      <c r="AV60" s="976"/>
      <c r="AW60" s="976"/>
      <c r="AX60" s="976"/>
      <c r="AY60" s="976"/>
      <c r="AZ60" s="976"/>
      <c r="BA60" s="976"/>
      <c r="BB60" s="976"/>
      <c r="BC60" s="976"/>
      <c r="BD60" s="976"/>
      <c r="BE60" s="976"/>
      <c r="BF60" s="976"/>
      <c r="BG60" s="976"/>
      <c r="BH60" s="976"/>
      <c r="BI60" s="976"/>
      <c r="BJ60" s="976"/>
      <c r="BK60" s="976"/>
      <c r="BL60" s="976"/>
      <c r="BM60" s="976"/>
      <c r="BN60" s="976"/>
      <c r="BO60" s="976"/>
      <c r="BP60" s="976"/>
      <c r="BQ60" s="976"/>
      <c r="BR60" s="976"/>
      <c r="BS60" s="976"/>
      <c r="BT60" s="976"/>
      <c r="BU60" s="976"/>
      <c r="BV60" s="976"/>
      <c r="BW60" s="976"/>
      <c r="BX60" s="976"/>
      <c r="BY60" s="976"/>
      <c r="BZ60" s="976"/>
      <c r="CA60" s="976"/>
      <c r="CB60" s="976"/>
      <c r="CC60" s="976"/>
      <c r="CD60" s="976"/>
      <c r="CE60" s="976"/>
      <c r="CF60" s="976"/>
      <c r="CG60" s="976"/>
      <c r="CH60" s="976"/>
      <c r="CI60" s="976"/>
      <c r="CJ60" s="976"/>
      <c r="CK60" s="976"/>
      <c r="CL60" s="976"/>
      <c r="CM60" s="976"/>
      <c r="CN60" s="976"/>
      <c r="CO60" s="976"/>
      <c r="CP60" s="976"/>
      <c r="CQ60" s="976"/>
      <c r="CR60" s="976"/>
      <c r="CS60" s="976"/>
      <c r="CT60" s="976"/>
      <c r="CU60" s="976"/>
      <c r="CV60" s="976"/>
      <c r="CW60" s="976"/>
      <c r="CX60" s="976"/>
      <c r="CY60" s="976"/>
      <c r="CZ60" s="976"/>
      <c r="DA60" s="976"/>
      <c r="DB60" s="976"/>
      <c r="DC60" s="976"/>
      <c r="DD60" s="976"/>
      <c r="DE60" s="976"/>
      <c r="DF60" s="976"/>
      <c r="DG60" s="976"/>
      <c r="DH60" s="976"/>
      <c r="DI60" s="976"/>
      <c r="DJ60" s="976"/>
      <c r="DK60" s="976"/>
      <c r="DL60" s="976"/>
      <c r="DM60" s="976"/>
      <c r="DN60" s="976"/>
      <c r="DO60" s="976"/>
      <c r="DP60" s="976"/>
      <c r="DQ60" s="976"/>
      <c r="DR60" s="976"/>
      <c r="DS60" s="976"/>
      <c r="DT60" s="976"/>
      <c r="DU60" s="976"/>
      <c r="DV60" s="976"/>
      <c r="DW60" s="976"/>
      <c r="DX60" s="976"/>
      <c r="DY60" s="976"/>
      <c r="DZ60" s="976"/>
      <c r="EA60" s="976"/>
    </row>
    <row r="61" spans="1:131" s="1016" customFormat="1" ht="20">
      <c r="A61" s="976"/>
      <c r="B61" s="999"/>
      <c r="C61" s="976"/>
      <c r="D61" s="978"/>
      <c r="E61" s="978"/>
      <c r="F61" s="978"/>
      <c r="G61" s="978"/>
      <c r="H61" s="978"/>
      <c r="I61" s="978"/>
      <c r="J61" s="978"/>
      <c r="K61" s="978"/>
      <c r="L61" s="978"/>
      <c r="M61" s="978"/>
      <c r="N61" s="976"/>
      <c r="O61" s="1061"/>
      <c r="P61" s="973"/>
      <c r="Q61" s="973"/>
      <c r="R61" s="973"/>
      <c r="S61" s="973"/>
      <c r="T61" s="973"/>
      <c r="U61" s="1008"/>
      <c r="V61" s="1008"/>
    </row>
    <row r="62" spans="1:131" s="1016" customFormat="1" ht="20">
      <c r="B62" s="999" t="s">
        <v>394</v>
      </c>
      <c r="C62" s="999"/>
      <c r="D62" s="978"/>
      <c r="E62" s="991"/>
      <c r="F62" s="991"/>
      <c r="G62" s="991"/>
      <c r="H62" s="991"/>
      <c r="I62" s="991"/>
      <c r="J62" s="991"/>
      <c r="K62" s="991"/>
      <c r="L62" s="978"/>
      <c r="M62" s="978"/>
      <c r="N62" s="976"/>
      <c r="O62" s="1061" t="s">
        <v>395</v>
      </c>
      <c r="P62" s="973"/>
      <c r="Q62" s="973"/>
      <c r="R62" s="973"/>
      <c r="S62" s="973"/>
      <c r="T62" s="973"/>
      <c r="U62" s="1008"/>
      <c r="V62" s="1008"/>
    </row>
    <row r="63" spans="1:131" s="1016" customFormat="1" ht="20">
      <c r="B63" s="1022" t="s">
        <v>396</v>
      </c>
      <c r="C63" s="1022"/>
      <c r="D63" s="978">
        <f>SUM(E63:F63)</f>
        <v>2400000</v>
      </c>
      <c r="E63" s="991">
        <f>2300000+100000</f>
        <v>2400000</v>
      </c>
      <c r="F63" s="991"/>
      <c r="G63" s="991">
        <f>SUM(H63:I63)</f>
        <v>1000000</v>
      </c>
      <c r="H63" s="991">
        <f>625000+175000+200000</f>
        <v>1000000</v>
      </c>
      <c r="I63" s="991"/>
      <c r="J63" s="991"/>
      <c r="K63" s="991"/>
      <c r="L63" s="978">
        <f>SUM(D63+G63+J63+K63)</f>
        <v>3400000</v>
      </c>
      <c r="M63" s="978"/>
      <c r="N63" s="976"/>
      <c r="O63" s="1061"/>
      <c r="P63" s="973"/>
      <c r="Q63" s="973"/>
      <c r="R63" s="973"/>
      <c r="S63" s="973"/>
      <c r="T63" s="973"/>
      <c r="U63" s="1008"/>
      <c r="V63" s="1008"/>
    </row>
    <row r="64" spans="1:131" s="1016" customFormat="1" ht="20">
      <c r="B64" s="1022" t="s">
        <v>397</v>
      </c>
      <c r="C64" s="1022"/>
      <c r="D64" s="978"/>
      <c r="E64" s="991"/>
      <c r="F64" s="991"/>
      <c r="G64" s="991"/>
      <c r="H64" s="991"/>
      <c r="I64" s="991"/>
      <c r="J64" s="991"/>
      <c r="K64" s="991">
        <v>1400000</v>
      </c>
      <c r="L64" s="978">
        <f>SUM(D64+G64+J64+K64)</f>
        <v>1400000</v>
      </c>
      <c r="M64" s="978"/>
      <c r="O64" s="1061" t="s">
        <v>398</v>
      </c>
      <c r="P64" s="973"/>
      <c r="Q64" s="973"/>
      <c r="R64" s="973"/>
      <c r="S64" s="973"/>
      <c r="T64" s="973"/>
      <c r="U64" s="979"/>
      <c r="V64" s="979"/>
      <c r="W64" s="976"/>
      <c r="X64" s="976"/>
    </row>
    <row r="65" spans="2:131" s="976" customFormat="1" ht="20">
      <c r="B65" s="1022" t="s">
        <v>399</v>
      </c>
      <c r="C65" s="1022"/>
      <c r="D65" s="978">
        <f>SUM(E65:F65)</f>
        <v>48480</v>
      </c>
      <c r="E65" s="991">
        <v>48480</v>
      </c>
      <c r="F65" s="991"/>
      <c r="G65" s="991">
        <f>SUM(H65:I65)</f>
        <v>125000</v>
      </c>
      <c r="H65" s="991">
        <v>125000</v>
      </c>
      <c r="I65" s="991"/>
      <c r="J65" s="991">
        <v>205000</v>
      </c>
      <c r="K65" s="991"/>
      <c r="L65" s="978">
        <f>SUM(D65+G65+J65+K65)</f>
        <v>378480</v>
      </c>
      <c r="M65" s="978"/>
      <c r="N65" s="1016"/>
      <c r="O65" s="1061"/>
      <c r="P65" s="973"/>
      <c r="Q65" s="973"/>
      <c r="R65" s="973"/>
      <c r="S65" s="973"/>
      <c r="T65" s="973"/>
      <c r="U65" s="979"/>
      <c r="V65" s="979"/>
      <c r="Z65" s="1016"/>
      <c r="AA65" s="1016"/>
      <c r="AB65" s="1016"/>
      <c r="AC65" s="1016"/>
      <c r="AD65" s="1016"/>
      <c r="AE65" s="1016"/>
      <c r="AF65" s="1016"/>
      <c r="AG65" s="1016"/>
      <c r="AH65" s="1016"/>
      <c r="AI65" s="1016"/>
      <c r="AJ65" s="1016"/>
      <c r="AK65" s="1016"/>
      <c r="AL65" s="1016"/>
      <c r="AM65" s="1016"/>
      <c r="AN65" s="1016"/>
      <c r="AO65" s="1016"/>
      <c r="AP65" s="1016"/>
      <c r="AQ65" s="1016"/>
      <c r="AR65" s="1016"/>
      <c r="AS65" s="1016"/>
      <c r="AT65" s="1016"/>
      <c r="AU65" s="1016"/>
      <c r="AV65" s="1016"/>
      <c r="AW65" s="1016"/>
      <c r="AX65" s="1016"/>
      <c r="AY65" s="1016"/>
      <c r="AZ65" s="1016"/>
      <c r="BA65" s="1016"/>
      <c r="BB65" s="1016"/>
      <c r="BC65" s="1016"/>
      <c r="BD65" s="1016"/>
      <c r="BE65" s="1016"/>
      <c r="BF65" s="1016"/>
      <c r="BG65" s="1016"/>
      <c r="BH65" s="1016"/>
      <c r="BI65" s="1016"/>
      <c r="BJ65" s="1016"/>
      <c r="BK65" s="1016"/>
      <c r="BL65" s="1016"/>
      <c r="BM65" s="1016"/>
      <c r="BN65" s="1016"/>
      <c r="BO65" s="1016"/>
      <c r="BP65" s="1016"/>
      <c r="BQ65" s="1016"/>
      <c r="BR65" s="1016"/>
      <c r="BS65" s="1016"/>
      <c r="BT65" s="1016"/>
      <c r="BU65" s="1016"/>
      <c r="BV65" s="1016"/>
      <c r="BW65" s="1016"/>
      <c r="BX65" s="1016"/>
      <c r="BY65" s="1016"/>
      <c r="BZ65" s="1016"/>
      <c r="CA65" s="1016"/>
      <c r="CB65" s="1016"/>
      <c r="CC65" s="1016"/>
      <c r="CD65" s="1016"/>
      <c r="CE65" s="1016"/>
      <c r="CF65" s="1016"/>
      <c r="CG65" s="1016"/>
      <c r="CH65" s="1016"/>
      <c r="CI65" s="1016"/>
      <c r="CJ65" s="1016"/>
      <c r="CK65" s="1016"/>
      <c r="CL65" s="1016"/>
      <c r="CM65" s="1016"/>
      <c r="CN65" s="1016"/>
      <c r="CO65" s="1016"/>
      <c r="CP65" s="1016"/>
      <c r="CQ65" s="1016"/>
      <c r="CR65" s="1016"/>
      <c r="CS65" s="1016"/>
      <c r="CT65" s="1016"/>
      <c r="CU65" s="1016"/>
      <c r="CV65" s="1016"/>
      <c r="CW65" s="1016"/>
      <c r="CX65" s="1016"/>
      <c r="CY65" s="1016"/>
      <c r="CZ65" s="1016"/>
      <c r="DA65" s="1016"/>
      <c r="DB65" s="1016"/>
      <c r="DC65" s="1016"/>
      <c r="DD65" s="1016"/>
      <c r="DE65" s="1016"/>
      <c r="DF65" s="1016"/>
      <c r="DG65" s="1016"/>
      <c r="DH65" s="1016"/>
      <c r="DI65" s="1016"/>
      <c r="DJ65" s="1016"/>
      <c r="DK65" s="1016"/>
      <c r="DL65" s="1016"/>
      <c r="DM65" s="1016"/>
      <c r="DN65" s="1016"/>
      <c r="DO65" s="1016"/>
      <c r="DP65" s="1016"/>
      <c r="DQ65" s="1016"/>
      <c r="DR65" s="1016"/>
      <c r="DS65" s="1016"/>
      <c r="DT65" s="1016"/>
      <c r="DU65" s="1016"/>
      <c r="DV65" s="1016"/>
      <c r="DW65" s="1016"/>
      <c r="DX65" s="1016"/>
      <c r="DY65" s="1016"/>
      <c r="DZ65" s="1016"/>
      <c r="EA65" s="1016"/>
    </row>
    <row r="66" spans="2:131" s="976" customFormat="1" ht="20">
      <c r="B66" s="1022" t="s">
        <v>400</v>
      </c>
      <c r="C66" s="1022"/>
      <c r="D66" s="978"/>
      <c r="E66" s="991"/>
      <c r="F66" s="991"/>
      <c r="G66" s="991"/>
      <c r="H66" s="991"/>
      <c r="I66" s="991"/>
      <c r="J66" s="991"/>
      <c r="K66" s="991">
        <v>5000</v>
      </c>
      <c r="L66" s="978">
        <f>SUM(D66+G66+J66+K66)</f>
        <v>5000</v>
      </c>
      <c r="M66" s="978"/>
      <c r="N66" s="1016"/>
      <c r="O66" s="1061" t="s">
        <v>401</v>
      </c>
      <c r="P66" s="973"/>
      <c r="Q66" s="973"/>
      <c r="R66" s="973"/>
      <c r="S66" s="973"/>
      <c r="T66" s="973"/>
      <c r="U66" s="979"/>
      <c r="V66" s="979"/>
    </row>
    <row r="67" spans="2:131" s="976" customFormat="1" ht="17">
      <c r="B67" s="1022" t="s">
        <v>402</v>
      </c>
      <c r="C67" s="1022"/>
      <c r="D67" s="978"/>
      <c r="E67" s="991"/>
      <c r="F67" s="991"/>
      <c r="G67" s="991"/>
      <c r="H67" s="991"/>
      <c r="I67" s="991"/>
      <c r="J67" s="991"/>
      <c r="K67" s="991">
        <f>17000+7200</f>
        <v>24200</v>
      </c>
      <c r="L67" s="978">
        <f>SUM(D67+G67+J67+K67)</f>
        <v>24200</v>
      </c>
      <c r="M67" s="978"/>
      <c r="N67" s="1016"/>
      <c r="P67" s="973"/>
      <c r="Q67" s="973"/>
      <c r="R67" s="973"/>
      <c r="S67" s="973"/>
      <c r="T67" s="973"/>
      <c r="U67" s="979"/>
      <c r="V67" s="979"/>
    </row>
    <row r="68" spans="2:131" s="976" customFormat="1" ht="17">
      <c r="B68" s="1057" t="s">
        <v>403</v>
      </c>
      <c r="C68" s="1057"/>
      <c r="D68" s="1000">
        <f>SUM(E68:F68)</f>
        <v>2448480</v>
      </c>
      <c r="E68" s="1000">
        <f>SUM(E59:E67)</f>
        <v>2448480</v>
      </c>
      <c r="F68" s="1000">
        <f>SUM(F59:F67)</f>
        <v>0</v>
      </c>
      <c r="G68" s="1000">
        <f>SUM(H68:I68)</f>
        <v>4284472</v>
      </c>
      <c r="H68" s="1000">
        <f>SUM(H59:H67)</f>
        <v>4284472</v>
      </c>
      <c r="I68" s="1000">
        <f>SUM(I59:I67)</f>
        <v>0</v>
      </c>
      <c r="J68" s="1000">
        <f>SUM(J59:J67)</f>
        <v>205000</v>
      </c>
      <c r="K68" s="1000">
        <f>SUM(K59:K67)</f>
        <v>1722454</v>
      </c>
      <c r="L68" s="1000">
        <f>SUM(L59:L67)</f>
        <v>8660406</v>
      </c>
      <c r="M68" s="978"/>
      <c r="O68" s="973"/>
      <c r="P68" s="973"/>
      <c r="Q68" s="973"/>
      <c r="R68" s="973"/>
      <c r="S68" s="973"/>
      <c r="T68" s="973"/>
      <c r="U68" s="979"/>
      <c r="V68" s="979"/>
    </row>
    <row r="69" spans="2:131" s="976" customFormat="1" ht="17">
      <c r="D69" s="978"/>
      <c r="E69" s="978"/>
      <c r="F69" s="978"/>
      <c r="G69" s="978"/>
      <c r="H69" s="978"/>
      <c r="I69" s="978"/>
      <c r="J69" s="1068"/>
      <c r="K69" s="978"/>
      <c r="L69" s="978"/>
      <c r="M69" s="978"/>
      <c r="P69" s="979"/>
      <c r="Q69" s="979"/>
      <c r="R69" s="979"/>
      <c r="S69" s="979"/>
      <c r="T69" s="979"/>
      <c r="U69" s="979"/>
      <c r="V69" s="979"/>
    </row>
    <row r="70" spans="2:131" s="1072" customFormat="1" ht="17">
      <c r="B70" s="1069" t="s">
        <v>404</v>
      </c>
      <c r="C70" s="1069"/>
      <c r="D70" s="1070">
        <f>SUM(E70:F70)</f>
        <v>1304963.2343260013</v>
      </c>
      <c r="E70" s="1071">
        <f>SUM(E55+E68)</f>
        <v>-5748032.0480775386</v>
      </c>
      <c r="F70" s="1071">
        <f>SUM(F55+F68)</f>
        <v>7052995.2824035399</v>
      </c>
      <c r="G70" s="1070">
        <f>SUM(H70:I70)</f>
        <v>504618.6877538478</v>
      </c>
      <c r="H70" s="1071">
        <f>SUM(H55+H68)</f>
        <v>-1139188.464793928</v>
      </c>
      <c r="I70" s="1071">
        <f>SUM(I55+I68)</f>
        <v>1643807.1525477758</v>
      </c>
      <c r="J70" s="1071"/>
      <c r="K70" s="1071"/>
      <c r="L70" s="1071">
        <f>SUM(D70+G70+J70+K70)</f>
        <v>1809581.9220798491</v>
      </c>
      <c r="M70" s="1071"/>
      <c r="P70" s="1073"/>
      <c r="Q70" s="1073"/>
      <c r="R70" s="1073"/>
      <c r="S70" s="1073"/>
      <c r="T70" s="1073"/>
      <c r="U70" s="1073"/>
      <c r="V70" s="1073"/>
    </row>
    <row r="71" spans="2:131" s="976" customFormat="1" ht="17">
      <c r="B71" s="1022"/>
      <c r="C71" s="1022"/>
      <c r="D71" s="978"/>
      <c r="E71" s="978"/>
      <c r="F71" s="978"/>
      <c r="G71" s="978"/>
      <c r="H71" s="978"/>
      <c r="I71" s="978"/>
      <c r="J71" s="978"/>
      <c r="K71" s="978"/>
      <c r="L71" s="978"/>
      <c r="M71" s="978"/>
      <c r="P71" s="979"/>
      <c r="Q71" s="979"/>
      <c r="R71" s="979"/>
      <c r="S71" s="979"/>
      <c r="T71" s="979"/>
      <c r="U71" s="979"/>
      <c r="V71" s="979"/>
    </row>
    <row r="72" spans="2:131" s="976" customFormat="1" ht="17">
      <c r="B72" s="1074"/>
      <c r="C72" s="1022"/>
      <c r="D72" s="978"/>
      <c r="E72" s="978"/>
      <c r="F72" s="978"/>
      <c r="G72" s="978"/>
      <c r="H72" s="978"/>
      <c r="I72" s="978"/>
      <c r="J72" s="978"/>
      <c r="K72" s="978"/>
      <c r="L72" s="978"/>
      <c r="M72" s="978"/>
      <c r="P72" s="979"/>
      <c r="Q72" s="979"/>
      <c r="R72" s="979"/>
      <c r="S72" s="979"/>
      <c r="T72" s="979"/>
      <c r="U72" s="979"/>
      <c r="V72" s="979"/>
    </row>
    <row r="73" spans="2:131" s="976" customFormat="1" ht="17">
      <c r="D73" s="978"/>
      <c r="E73" s="978"/>
      <c r="F73" s="978"/>
      <c r="G73" s="978"/>
      <c r="H73" s="978"/>
      <c r="I73" s="978"/>
      <c r="J73" s="978"/>
      <c r="K73" s="978"/>
      <c r="L73" s="978"/>
      <c r="M73" s="978"/>
      <c r="P73" s="979"/>
      <c r="Q73" s="979"/>
      <c r="R73" s="979"/>
      <c r="S73" s="979"/>
      <c r="T73" s="979"/>
      <c r="U73" s="979"/>
      <c r="V73" s="979"/>
    </row>
    <row r="74" spans="2:131" s="976" customFormat="1" ht="17">
      <c r="D74" s="978"/>
      <c r="E74" s="978"/>
      <c r="F74" s="978"/>
      <c r="G74" s="978"/>
      <c r="H74" s="978"/>
      <c r="I74" s="978"/>
      <c r="J74" s="978"/>
      <c r="K74" s="978"/>
      <c r="L74" s="978"/>
      <c r="M74" s="978"/>
      <c r="P74" s="979"/>
      <c r="Q74" s="979"/>
      <c r="R74" s="979"/>
      <c r="S74" s="979"/>
      <c r="T74" s="979"/>
      <c r="U74" s="979"/>
      <c r="V74" s="979"/>
    </row>
    <row r="75" spans="2:131" s="976" customFormat="1" ht="17">
      <c r="D75" s="978"/>
      <c r="E75" s="978"/>
      <c r="F75" s="978"/>
      <c r="G75" s="978"/>
      <c r="H75" s="978"/>
      <c r="I75" s="978"/>
      <c r="J75" s="978"/>
      <c r="K75" s="978"/>
      <c r="L75" s="978"/>
      <c r="M75" s="978"/>
      <c r="P75" s="979"/>
      <c r="Q75" s="979"/>
      <c r="R75" s="979"/>
      <c r="S75" s="979"/>
      <c r="T75" s="979"/>
      <c r="U75" s="979"/>
      <c r="V75" s="979"/>
    </row>
    <row r="76" spans="2:131" s="976" customFormat="1" ht="17">
      <c r="D76" s="978"/>
      <c r="E76" s="978"/>
      <c r="F76" s="978"/>
      <c r="G76" s="978"/>
      <c r="H76" s="978"/>
      <c r="I76" s="978"/>
      <c r="J76" s="978"/>
      <c r="K76" s="978"/>
      <c r="L76" s="978"/>
      <c r="M76" s="978"/>
      <c r="P76" s="979"/>
      <c r="Q76" s="979"/>
      <c r="R76" s="979"/>
      <c r="S76" s="979"/>
      <c r="T76" s="979"/>
      <c r="U76" s="979"/>
      <c r="V76" s="979"/>
    </row>
    <row r="77" spans="2:131" s="976" customFormat="1" ht="17">
      <c r="D77" s="978"/>
      <c r="E77" s="978"/>
      <c r="F77" s="978"/>
      <c r="G77" s="978"/>
      <c r="H77" s="978"/>
      <c r="I77" s="978"/>
      <c r="J77" s="978"/>
      <c r="K77" s="978"/>
      <c r="L77" s="978"/>
      <c r="M77" s="978"/>
      <c r="P77" s="979"/>
      <c r="Q77" s="979"/>
      <c r="R77" s="979"/>
      <c r="S77" s="979"/>
      <c r="T77" s="979"/>
      <c r="U77" s="979"/>
      <c r="V77" s="979"/>
    </row>
    <row r="78" spans="2:131" s="976" customFormat="1" ht="17">
      <c r="D78" s="978"/>
      <c r="E78" s="978"/>
      <c r="F78" s="978"/>
      <c r="G78" s="978"/>
      <c r="H78" s="978"/>
      <c r="I78" s="978"/>
      <c r="J78" s="978"/>
      <c r="K78" s="978"/>
      <c r="L78" s="978"/>
      <c r="M78" s="978"/>
      <c r="P78" s="979"/>
      <c r="Q78" s="979"/>
      <c r="R78" s="979"/>
      <c r="S78" s="979"/>
      <c r="T78" s="979"/>
      <c r="U78" s="979"/>
      <c r="V78" s="979"/>
    </row>
    <row r="79" spans="2:131" s="976" customFormat="1" ht="17">
      <c r="D79" s="978"/>
      <c r="E79" s="978"/>
      <c r="F79" s="978"/>
      <c r="G79" s="978"/>
      <c r="H79" s="978"/>
      <c r="I79" s="978"/>
      <c r="J79" s="978"/>
      <c r="K79" s="978"/>
      <c r="L79" s="978"/>
      <c r="M79" s="978"/>
      <c r="P79" s="979"/>
      <c r="Q79" s="979"/>
      <c r="R79" s="979"/>
      <c r="S79" s="979"/>
      <c r="T79" s="979"/>
      <c r="U79" s="979"/>
      <c r="V79" s="979"/>
    </row>
    <row r="80" spans="2:131" s="976" customFormat="1" ht="17">
      <c r="D80" s="978"/>
      <c r="E80" s="978"/>
      <c r="F80" s="978"/>
      <c r="G80" s="978"/>
      <c r="H80" s="978"/>
      <c r="I80" s="978"/>
      <c r="J80" s="978"/>
      <c r="K80" s="978"/>
      <c r="L80" s="978"/>
      <c r="M80" s="978"/>
      <c r="P80" s="979"/>
      <c r="Q80" s="979"/>
      <c r="R80" s="979"/>
      <c r="S80" s="979"/>
      <c r="T80" s="979"/>
      <c r="U80" s="979"/>
      <c r="V80" s="979"/>
    </row>
    <row r="81" spans="1:131" s="976" customFormat="1" ht="17">
      <c r="D81" s="978"/>
      <c r="E81" s="978"/>
      <c r="F81" s="978"/>
      <c r="G81" s="978"/>
      <c r="H81" s="978"/>
      <c r="I81" s="978"/>
      <c r="J81" s="978"/>
      <c r="K81" s="978"/>
      <c r="L81" s="978"/>
      <c r="M81" s="978"/>
      <c r="P81" s="979"/>
      <c r="Q81" s="979"/>
      <c r="R81" s="979"/>
      <c r="S81" s="979"/>
      <c r="T81" s="979"/>
      <c r="U81" s="979"/>
      <c r="V81" s="979"/>
    </row>
    <row r="82" spans="1:131" s="976" customFormat="1" ht="17">
      <c r="D82" s="978"/>
      <c r="E82" s="978"/>
      <c r="F82" s="978"/>
      <c r="G82" s="978"/>
      <c r="H82" s="978"/>
      <c r="I82" s="978"/>
      <c r="J82" s="978"/>
      <c r="K82" s="978"/>
      <c r="L82" s="978"/>
      <c r="M82" s="978"/>
      <c r="P82" s="979"/>
      <c r="Q82" s="979"/>
      <c r="R82" s="979"/>
      <c r="S82" s="979"/>
      <c r="T82" s="979"/>
      <c r="U82" s="979"/>
      <c r="V82" s="979"/>
    </row>
    <row r="83" spans="1:131" s="976" customFormat="1" ht="17">
      <c r="D83" s="978"/>
      <c r="E83" s="978"/>
      <c r="F83" s="978"/>
      <c r="G83" s="978"/>
      <c r="H83" s="978"/>
      <c r="I83" s="978"/>
      <c r="J83" s="978"/>
      <c r="K83" s="978"/>
      <c r="L83" s="978"/>
      <c r="M83" s="978"/>
      <c r="P83" s="979"/>
      <c r="Q83" s="979"/>
      <c r="R83" s="979"/>
      <c r="S83" s="979"/>
      <c r="T83" s="979"/>
      <c r="U83" s="979"/>
      <c r="V83" s="979"/>
    </row>
    <row r="84" spans="1:131" s="976" customFormat="1" ht="17">
      <c r="D84" s="978"/>
      <c r="E84" s="978"/>
      <c r="F84" s="978"/>
      <c r="G84" s="978"/>
      <c r="H84" s="978"/>
      <c r="I84" s="978"/>
      <c r="J84" s="978"/>
      <c r="K84" s="978"/>
      <c r="L84" s="978"/>
      <c r="M84" s="978"/>
      <c r="P84" s="979"/>
      <c r="Q84" s="979"/>
      <c r="R84" s="979"/>
      <c r="S84" s="979"/>
      <c r="T84" s="979"/>
      <c r="U84" s="979"/>
      <c r="V84" s="979"/>
    </row>
    <row r="85" spans="1:131" s="976" customFormat="1" ht="17">
      <c r="D85" s="978"/>
      <c r="E85" s="978"/>
      <c r="F85" s="978"/>
      <c r="G85" s="978"/>
      <c r="H85" s="978"/>
      <c r="I85" s="978"/>
      <c r="J85" s="978"/>
      <c r="K85" s="978"/>
      <c r="L85" s="978"/>
      <c r="M85" s="978"/>
      <c r="P85" s="979"/>
      <c r="Q85" s="979"/>
      <c r="R85" s="979"/>
      <c r="S85" s="979"/>
      <c r="T85" s="979"/>
      <c r="U85" s="979"/>
      <c r="V85" s="979"/>
    </row>
    <row r="86" spans="1:131" s="976" customFormat="1" ht="17">
      <c r="D86" s="978"/>
      <c r="E86" s="978"/>
      <c r="F86" s="978"/>
      <c r="G86" s="978"/>
      <c r="H86" s="978"/>
      <c r="I86" s="978"/>
      <c r="J86" s="978"/>
      <c r="K86" s="978"/>
      <c r="L86" s="978"/>
      <c r="M86" s="978"/>
      <c r="P86" s="979"/>
      <c r="Q86" s="979"/>
      <c r="R86" s="979"/>
      <c r="S86" s="979"/>
      <c r="T86" s="979"/>
      <c r="U86" s="979"/>
      <c r="V86" s="979"/>
    </row>
    <row r="87" spans="1:131" s="976" customFormat="1" ht="17">
      <c r="D87" s="978"/>
      <c r="E87" s="978"/>
      <c r="F87" s="978"/>
      <c r="G87" s="978"/>
      <c r="H87" s="978"/>
      <c r="I87" s="978"/>
      <c r="J87" s="978"/>
      <c r="K87" s="978"/>
      <c r="L87" s="978"/>
      <c r="M87" s="978"/>
      <c r="P87" s="979"/>
      <c r="Q87" s="979"/>
      <c r="R87" s="979"/>
      <c r="S87" s="979"/>
      <c r="T87" s="979"/>
      <c r="U87" s="979"/>
      <c r="V87" s="979"/>
    </row>
    <row r="88" spans="1:131" s="976" customFormat="1" ht="17">
      <c r="D88" s="978"/>
      <c r="E88" s="978"/>
      <c r="F88" s="978"/>
      <c r="G88" s="978"/>
      <c r="H88" s="978"/>
      <c r="I88" s="978"/>
      <c r="J88" s="978"/>
      <c r="K88" s="978"/>
      <c r="L88" s="978"/>
      <c r="M88" s="978"/>
      <c r="P88" s="979"/>
      <c r="Q88" s="979"/>
      <c r="R88" s="979"/>
      <c r="S88" s="979"/>
      <c r="T88" s="979"/>
      <c r="U88" s="979"/>
      <c r="V88" s="979"/>
    </row>
    <row r="89" spans="1:131" s="976" customFormat="1" ht="17">
      <c r="D89" s="978"/>
      <c r="E89" s="978"/>
      <c r="F89" s="978"/>
      <c r="G89" s="978"/>
      <c r="H89" s="978"/>
      <c r="I89" s="978"/>
      <c r="J89" s="978"/>
      <c r="K89" s="978"/>
      <c r="L89" s="978"/>
      <c r="M89" s="978"/>
      <c r="P89" s="979"/>
      <c r="Q89" s="979"/>
      <c r="R89" s="979"/>
      <c r="S89" s="979"/>
      <c r="T89" s="979"/>
      <c r="U89" s="979"/>
      <c r="V89" s="979"/>
    </row>
    <row r="90" spans="1:131" s="976" customFormat="1" ht="17">
      <c r="D90" s="978"/>
      <c r="E90" s="978"/>
      <c r="F90" s="978"/>
      <c r="G90" s="978"/>
      <c r="H90" s="978"/>
      <c r="I90" s="978"/>
      <c r="J90" s="978"/>
      <c r="K90" s="978"/>
      <c r="L90" s="978"/>
      <c r="M90" s="978"/>
      <c r="O90" s="973"/>
      <c r="P90" s="975"/>
      <c r="Q90" s="975"/>
      <c r="R90" s="975"/>
      <c r="S90" s="975"/>
      <c r="T90" s="975"/>
      <c r="U90" s="979"/>
      <c r="V90" s="979"/>
    </row>
    <row r="91" spans="1:131" s="976" customFormat="1" ht="17">
      <c r="A91" s="973"/>
      <c r="D91" s="978"/>
      <c r="E91" s="978"/>
      <c r="F91" s="978"/>
      <c r="G91" s="978"/>
      <c r="H91" s="978"/>
      <c r="I91" s="978"/>
      <c r="J91" s="978"/>
      <c r="K91" s="978"/>
      <c r="L91" s="978"/>
      <c r="M91" s="978"/>
      <c r="O91" s="973"/>
      <c r="P91" s="975"/>
      <c r="Q91" s="975"/>
      <c r="R91" s="975"/>
      <c r="S91" s="975"/>
      <c r="T91" s="975"/>
      <c r="U91" s="975"/>
      <c r="V91" s="975"/>
      <c r="W91" s="973"/>
      <c r="X91" s="973"/>
    </row>
    <row r="92" spans="1:131" ht="17">
      <c r="B92" s="976"/>
      <c r="C92" s="976"/>
      <c r="D92" s="978"/>
      <c r="E92" s="978"/>
      <c r="F92" s="978"/>
      <c r="G92" s="978"/>
      <c r="H92" s="978"/>
      <c r="I92" s="978"/>
      <c r="J92" s="978"/>
      <c r="K92" s="978"/>
      <c r="L92" s="978"/>
      <c r="M92" s="978"/>
      <c r="N92" s="976"/>
      <c r="Z92" s="976"/>
      <c r="AA92" s="976"/>
      <c r="AB92" s="976"/>
      <c r="AC92" s="976"/>
      <c r="AD92" s="976"/>
      <c r="AE92" s="976"/>
      <c r="AF92" s="976"/>
      <c r="AG92" s="976"/>
      <c r="AH92" s="976"/>
      <c r="AI92" s="976"/>
      <c r="AJ92" s="976"/>
      <c r="AK92" s="976"/>
      <c r="AL92" s="976"/>
      <c r="AM92" s="976"/>
      <c r="AN92" s="976"/>
      <c r="AO92" s="976"/>
      <c r="AP92" s="976"/>
      <c r="AQ92" s="976"/>
      <c r="AR92" s="976"/>
      <c r="AS92" s="976"/>
      <c r="AT92" s="976"/>
      <c r="AU92" s="976"/>
      <c r="AV92" s="976"/>
      <c r="AW92" s="976"/>
      <c r="AX92" s="976"/>
      <c r="AY92" s="976"/>
      <c r="AZ92" s="976"/>
      <c r="BA92" s="976"/>
      <c r="BB92" s="976"/>
      <c r="BC92" s="976"/>
      <c r="BD92" s="976"/>
      <c r="BE92" s="976"/>
      <c r="BF92" s="976"/>
      <c r="BG92" s="976"/>
      <c r="BH92" s="976"/>
      <c r="BI92" s="976"/>
      <c r="BJ92" s="976"/>
      <c r="BK92" s="976"/>
      <c r="BL92" s="976"/>
      <c r="BM92" s="976"/>
      <c r="BN92" s="976"/>
      <c r="BO92" s="976"/>
      <c r="BP92" s="976"/>
      <c r="BQ92" s="976"/>
      <c r="BR92" s="976"/>
      <c r="BS92" s="976"/>
      <c r="BT92" s="976"/>
      <c r="BU92" s="976"/>
      <c r="BV92" s="976"/>
      <c r="BW92" s="976"/>
      <c r="BX92" s="976"/>
      <c r="BY92" s="976"/>
      <c r="BZ92" s="976"/>
      <c r="CA92" s="976"/>
      <c r="CB92" s="976"/>
      <c r="CC92" s="976"/>
      <c r="CD92" s="976"/>
      <c r="CE92" s="976"/>
      <c r="CF92" s="976"/>
      <c r="CG92" s="976"/>
      <c r="CH92" s="976"/>
      <c r="CI92" s="976"/>
      <c r="CJ92" s="976"/>
      <c r="CK92" s="976"/>
      <c r="CL92" s="976"/>
      <c r="CM92" s="976"/>
      <c r="CN92" s="976"/>
      <c r="CO92" s="976"/>
      <c r="CP92" s="976"/>
      <c r="CQ92" s="976"/>
      <c r="CR92" s="976"/>
      <c r="CS92" s="976"/>
      <c r="CT92" s="976"/>
      <c r="CU92" s="976"/>
      <c r="CV92" s="976"/>
      <c r="CW92" s="976"/>
      <c r="CX92" s="976"/>
      <c r="CY92" s="976"/>
      <c r="CZ92" s="976"/>
      <c r="DA92" s="976"/>
      <c r="DB92" s="976"/>
      <c r="DC92" s="976"/>
      <c r="DD92" s="976"/>
      <c r="DE92" s="976"/>
      <c r="DF92" s="976"/>
      <c r="DG92" s="976"/>
      <c r="DH92" s="976"/>
      <c r="DI92" s="976"/>
      <c r="DJ92" s="976"/>
      <c r="DK92" s="976"/>
      <c r="DL92" s="976"/>
      <c r="DM92" s="976"/>
      <c r="DN92" s="976"/>
      <c r="DO92" s="976"/>
      <c r="DP92" s="976"/>
      <c r="DQ92" s="976"/>
      <c r="DR92" s="976"/>
      <c r="DS92" s="976"/>
      <c r="DT92" s="976"/>
      <c r="DU92" s="976"/>
      <c r="DV92" s="976"/>
      <c r="DW92" s="976"/>
      <c r="DX92" s="976"/>
      <c r="DY92" s="976"/>
      <c r="DZ92" s="976"/>
      <c r="EA92" s="976"/>
    </row>
    <row r="93" spans="1:131" ht="17">
      <c r="B93" s="976"/>
      <c r="C93" s="976"/>
      <c r="D93" s="978"/>
      <c r="E93" s="978"/>
      <c r="F93" s="978"/>
      <c r="G93" s="978"/>
      <c r="H93" s="978"/>
      <c r="I93" s="978"/>
      <c r="J93" s="978"/>
      <c r="K93" s="978"/>
      <c r="L93" s="978"/>
      <c r="M93" s="978"/>
      <c r="N93" s="976"/>
    </row>
    <row r="94" spans="1:131" ht="17">
      <c r="N94" s="976"/>
    </row>
  </sheetData>
  <mergeCells count="2">
    <mergeCell ref="B1:L1"/>
    <mergeCell ref="V1:W1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FC4A4-34A9-4C67-BADF-EF53EBF257D1}">
  <sheetPr>
    <tabColor rgb="FFFFFF00"/>
  </sheetPr>
  <dimension ref="A1:I29"/>
  <sheetViews>
    <sheetView tabSelected="1" workbookViewId="0">
      <selection activeCell="B5" sqref="B5"/>
    </sheetView>
  </sheetViews>
  <sheetFormatPr baseColWidth="10" defaultColWidth="8.83203125" defaultRowHeight="15" outlineLevelRow="1"/>
  <cols>
    <col min="1" max="1" width="3.33203125" customWidth="1"/>
    <col min="2" max="2" width="5.33203125" bestFit="1" customWidth="1"/>
    <col min="3" max="3" width="11.6640625" bestFit="1" customWidth="1"/>
    <col min="4" max="4" width="6" bestFit="1" customWidth="1"/>
    <col min="5" max="5" width="34.33203125" bestFit="1" customWidth="1"/>
    <col min="9" max="9" width="18.6640625" customWidth="1"/>
  </cols>
  <sheetData>
    <row r="1" spans="1:9" ht="24">
      <c r="A1" s="1076" t="s">
        <v>405</v>
      </c>
      <c r="B1" s="1076"/>
      <c r="C1" s="1076"/>
      <c r="I1" s="1077" t="s">
        <v>521</v>
      </c>
    </row>
    <row r="2" spans="1:9" ht="16">
      <c r="A2" s="1078" t="s">
        <v>522</v>
      </c>
      <c r="B2" s="1078" t="s">
        <v>411</v>
      </c>
      <c r="C2" s="1078" t="s">
        <v>412</v>
      </c>
      <c r="D2" s="1078" t="s">
        <v>523</v>
      </c>
      <c r="E2" s="1078" t="s">
        <v>524</v>
      </c>
      <c r="F2" s="1078" t="s">
        <v>525</v>
      </c>
      <c r="G2" s="1078" t="s">
        <v>526</v>
      </c>
      <c r="H2" s="1079" t="s">
        <v>527</v>
      </c>
      <c r="I2" s="1079" t="s">
        <v>528</v>
      </c>
    </row>
    <row r="3" spans="1:9" outlineLevel="1">
      <c r="D3">
        <v>13400</v>
      </c>
      <c r="E3" t="s">
        <v>529</v>
      </c>
      <c r="F3">
        <v>4900</v>
      </c>
      <c r="G3" t="s">
        <v>530</v>
      </c>
      <c r="H3" t="s">
        <v>531</v>
      </c>
      <c r="I3" s="249">
        <v>300000</v>
      </c>
    </row>
    <row r="4" spans="1:9" outlineLevel="1">
      <c r="D4">
        <v>13700</v>
      </c>
      <c r="E4" t="s">
        <v>532</v>
      </c>
      <c r="F4">
        <v>4900</v>
      </c>
      <c r="G4" t="s">
        <v>530</v>
      </c>
      <c r="H4" t="s">
        <v>531</v>
      </c>
      <c r="I4" s="249">
        <v>350000</v>
      </c>
    </row>
    <row r="5" spans="1:9">
      <c r="A5" s="1080">
        <v>1</v>
      </c>
      <c r="B5" s="1080">
        <v>1000</v>
      </c>
      <c r="C5" s="1080" t="s">
        <v>533</v>
      </c>
      <c r="D5" s="1080"/>
      <c r="E5" s="1080"/>
      <c r="F5" s="1080"/>
      <c r="G5" s="1080"/>
      <c r="H5" s="1080"/>
      <c r="I5" s="1088">
        <f>SUM(I3:I4)</f>
        <v>650000</v>
      </c>
    </row>
    <row r="6" spans="1:9" ht="16" thickBot="1">
      <c r="A6" s="1103">
        <v>1</v>
      </c>
      <c r="B6" s="1103" t="s">
        <v>269</v>
      </c>
      <c r="C6" s="1103"/>
      <c r="D6" s="1103"/>
      <c r="E6" s="1103"/>
      <c r="F6" s="1103"/>
      <c r="G6" s="1103"/>
      <c r="H6" s="1103"/>
      <c r="I6" s="1104">
        <f>I5</f>
        <v>650000</v>
      </c>
    </row>
    <row r="7" spans="1:9" outlineLevel="1">
      <c r="D7">
        <v>34100</v>
      </c>
      <c r="E7" t="s">
        <v>453</v>
      </c>
      <c r="F7">
        <v>5900</v>
      </c>
      <c r="G7" t="s">
        <v>530</v>
      </c>
      <c r="H7" t="s">
        <v>531</v>
      </c>
      <c r="I7" s="249">
        <v>215000</v>
      </c>
    </row>
    <row r="8" spans="1:9" outlineLevel="1">
      <c r="D8">
        <v>34200</v>
      </c>
      <c r="E8" t="s">
        <v>534</v>
      </c>
      <c r="F8">
        <v>6740</v>
      </c>
      <c r="G8" t="s">
        <v>530</v>
      </c>
      <c r="H8" t="s">
        <v>535</v>
      </c>
      <c r="I8" s="249">
        <v>5368642</v>
      </c>
    </row>
    <row r="9" spans="1:9">
      <c r="A9" s="1080">
        <v>3</v>
      </c>
      <c r="B9" s="1080">
        <v>1000</v>
      </c>
      <c r="C9" s="1080" t="s">
        <v>533</v>
      </c>
      <c r="D9" s="1080"/>
      <c r="E9" s="1080"/>
      <c r="F9" s="1080"/>
      <c r="G9" s="1080"/>
      <c r="H9" s="1080"/>
      <c r="I9" s="1088">
        <f>SUM(I7:I8)</f>
        <v>5583642</v>
      </c>
    </row>
    <row r="10" spans="1:9" ht="16" thickBot="1">
      <c r="A10" s="1105">
        <v>3</v>
      </c>
      <c r="B10" s="1105" t="s">
        <v>78</v>
      </c>
      <c r="C10" s="1105"/>
      <c r="D10" s="1105"/>
      <c r="E10" s="1105"/>
      <c r="F10" s="1105"/>
      <c r="G10" s="1105"/>
      <c r="H10" s="1105"/>
      <c r="I10" s="1106">
        <f>I9</f>
        <v>5583642</v>
      </c>
    </row>
    <row r="11" spans="1:9" outlineLevel="1">
      <c r="D11">
        <v>51200</v>
      </c>
      <c r="E11" t="s">
        <v>471</v>
      </c>
      <c r="F11">
        <v>6790</v>
      </c>
      <c r="G11" t="s">
        <v>530</v>
      </c>
      <c r="H11" t="s">
        <v>530</v>
      </c>
      <c r="I11" s="249">
        <v>45000</v>
      </c>
    </row>
    <row r="12" spans="1:9" outlineLevel="1">
      <c r="D12">
        <v>51400</v>
      </c>
      <c r="E12" t="s">
        <v>472</v>
      </c>
      <c r="F12">
        <v>4900</v>
      </c>
      <c r="G12" t="s">
        <v>530</v>
      </c>
      <c r="H12" t="s">
        <v>530</v>
      </c>
      <c r="I12" s="249">
        <v>6000</v>
      </c>
    </row>
    <row r="13" spans="1:9" outlineLevel="1">
      <c r="D13">
        <v>51500</v>
      </c>
      <c r="E13" t="s">
        <v>382</v>
      </c>
      <c r="F13">
        <v>6600</v>
      </c>
      <c r="G13" t="s">
        <v>530</v>
      </c>
      <c r="H13" t="s">
        <v>530</v>
      </c>
      <c r="I13" s="249">
        <v>150000</v>
      </c>
    </row>
    <row r="14" spans="1:9" outlineLevel="1">
      <c r="D14">
        <v>51610</v>
      </c>
      <c r="E14" t="s">
        <v>536</v>
      </c>
      <c r="F14">
        <v>6790</v>
      </c>
      <c r="G14" t="s">
        <v>530</v>
      </c>
      <c r="H14" t="s">
        <v>530</v>
      </c>
      <c r="I14" s="249">
        <v>150000</v>
      </c>
    </row>
    <row r="15" spans="1:9" outlineLevel="1">
      <c r="D15">
        <v>51620</v>
      </c>
      <c r="E15" t="s">
        <v>537</v>
      </c>
      <c r="F15">
        <v>6770</v>
      </c>
      <c r="G15" t="s">
        <v>530</v>
      </c>
      <c r="H15" t="s">
        <v>530</v>
      </c>
      <c r="I15" s="249">
        <v>88147</v>
      </c>
    </row>
    <row r="16" spans="1:9" outlineLevel="1">
      <c r="D16">
        <v>51620</v>
      </c>
      <c r="E16" t="s">
        <v>537</v>
      </c>
      <c r="F16">
        <v>6960</v>
      </c>
      <c r="G16" t="s">
        <v>530</v>
      </c>
      <c r="H16" t="s">
        <v>530</v>
      </c>
      <c r="I16" s="249">
        <v>125978</v>
      </c>
    </row>
    <row r="17" spans="1:9" outlineLevel="1">
      <c r="D17">
        <v>51700</v>
      </c>
      <c r="E17" t="s">
        <v>538</v>
      </c>
      <c r="F17">
        <v>6720</v>
      </c>
      <c r="G17" t="s">
        <v>530</v>
      </c>
      <c r="H17" t="s">
        <v>530</v>
      </c>
      <c r="I17" s="249">
        <v>50000</v>
      </c>
    </row>
    <row r="18" spans="1:9" outlineLevel="1">
      <c r="D18">
        <v>51900</v>
      </c>
      <c r="E18" t="s">
        <v>474</v>
      </c>
      <c r="F18">
        <v>6790</v>
      </c>
      <c r="G18" t="s">
        <v>530</v>
      </c>
      <c r="H18" t="s">
        <v>530</v>
      </c>
      <c r="I18" s="249">
        <v>30000</v>
      </c>
    </row>
    <row r="19" spans="1:9" outlineLevel="1">
      <c r="D19">
        <v>52230</v>
      </c>
      <c r="E19" t="s">
        <v>480</v>
      </c>
      <c r="F19">
        <v>6570</v>
      </c>
      <c r="G19" t="s">
        <v>530</v>
      </c>
      <c r="H19" t="s">
        <v>530</v>
      </c>
      <c r="I19" s="249">
        <v>450000</v>
      </c>
    </row>
    <row r="20" spans="1:9" outlineLevel="1">
      <c r="D20">
        <v>52470</v>
      </c>
      <c r="E20" t="s">
        <v>539</v>
      </c>
      <c r="F20">
        <v>6770</v>
      </c>
      <c r="G20" t="s">
        <v>530</v>
      </c>
      <c r="H20" t="s">
        <v>530</v>
      </c>
      <c r="I20" s="249">
        <v>120000</v>
      </c>
    </row>
    <row r="21" spans="1:9" outlineLevel="1">
      <c r="D21">
        <v>52510</v>
      </c>
      <c r="E21" t="s">
        <v>487</v>
      </c>
      <c r="F21">
        <v>6570</v>
      </c>
      <c r="G21" t="s">
        <v>530</v>
      </c>
      <c r="H21" t="s">
        <v>530</v>
      </c>
      <c r="I21" s="249">
        <v>3800000</v>
      </c>
    </row>
    <row r="22" spans="1:9" outlineLevel="1">
      <c r="D22">
        <v>52710</v>
      </c>
      <c r="E22" t="s">
        <v>501</v>
      </c>
      <c r="F22">
        <v>6570</v>
      </c>
      <c r="G22" t="s">
        <v>530</v>
      </c>
      <c r="H22" t="s">
        <v>530</v>
      </c>
      <c r="I22" s="249">
        <v>99000</v>
      </c>
    </row>
    <row r="23" spans="1:9">
      <c r="A23">
        <v>5</v>
      </c>
      <c r="B23">
        <v>1000</v>
      </c>
      <c r="C23" t="s">
        <v>533</v>
      </c>
      <c r="I23" s="249">
        <f>SUM(I11:I22)</f>
        <v>5114125</v>
      </c>
    </row>
    <row r="24" spans="1:9" ht="16" thickBot="1">
      <c r="A24" s="1105">
        <v>5</v>
      </c>
      <c r="B24" s="1105" t="s">
        <v>272</v>
      </c>
      <c r="C24" s="1105"/>
      <c r="D24" s="1105"/>
      <c r="E24" s="1105"/>
      <c r="F24" s="1105"/>
      <c r="G24" s="1105"/>
      <c r="H24" s="1105"/>
      <c r="I24" s="1106">
        <f>I23</f>
        <v>5114125</v>
      </c>
    </row>
    <row r="25" spans="1:9">
      <c r="A25">
        <v>7</v>
      </c>
      <c r="B25">
        <v>1000</v>
      </c>
      <c r="C25" t="s">
        <v>533</v>
      </c>
      <c r="D25">
        <v>79430</v>
      </c>
      <c r="E25" t="s">
        <v>518</v>
      </c>
      <c r="F25">
        <v>0</v>
      </c>
      <c r="G25" t="s">
        <v>530</v>
      </c>
      <c r="H25" t="s">
        <v>530</v>
      </c>
      <c r="I25" s="249">
        <v>125000</v>
      </c>
    </row>
    <row r="26" spans="1:9" ht="16" thickBot="1">
      <c r="A26" s="1105">
        <v>7</v>
      </c>
      <c r="B26" s="1105" t="s">
        <v>519</v>
      </c>
      <c r="C26" s="1105"/>
      <c r="D26" s="1105"/>
      <c r="E26" s="1105"/>
      <c r="F26" s="1105"/>
      <c r="G26" s="1105"/>
      <c r="H26" s="1105"/>
      <c r="I26" s="1106">
        <f>I25</f>
        <v>125000</v>
      </c>
    </row>
    <row r="27" spans="1:9">
      <c r="A27" s="1107">
        <v>8</v>
      </c>
      <c r="B27" s="1107">
        <v>1000</v>
      </c>
      <c r="C27" s="1107" t="s">
        <v>533</v>
      </c>
      <c r="D27" s="1107">
        <v>73000</v>
      </c>
      <c r="E27" s="1107" t="s">
        <v>540</v>
      </c>
      <c r="F27" s="1107">
        <v>6790</v>
      </c>
      <c r="G27" s="1107" t="s">
        <v>530</v>
      </c>
      <c r="H27" s="1107" t="s">
        <v>530</v>
      </c>
      <c r="I27" s="1108">
        <v>390000</v>
      </c>
    </row>
    <row r="28" spans="1:9" ht="16" thickBot="1">
      <c r="A28" s="1105">
        <v>8</v>
      </c>
      <c r="B28" s="1105" t="s">
        <v>283</v>
      </c>
      <c r="C28" s="1105"/>
      <c r="D28" s="1105"/>
      <c r="E28" s="1105"/>
      <c r="F28" s="1105"/>
      <c r="G28" s="1105"/>
      <c r="H28" s="1105"/>
      <c r="I28" s="1106">
        <f>I27</f>
        <v>390000</v>
      </c>
    </row>
    <row r="29" spans="1:9" ht="19">
      <c r="H29" s="1101" t="s">
        <v>533</v>
      </c>
      <c r="I29" s="1109">
        <f>SUM(I6+I10+I24+I26+I28)</f>
        <v>11862767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9642-CDAA-44DB-B905-CC7731A58BBF}">
  <sheetPr>
    <tabColor rgb="FFFFFF00"/>
  </sheetPr>
  <dimension ref="A1:H610"/>
  <sheetViews>
    <sheetView workbookViewId="0">
      <selection activeCell="K6" sqref="K6"/>
    </sheetView>
  </sheetViews>
  <sheetFormatPr baseColWidth="10" defaultColWidth="8.83203125" defaultRowHeight="15" outlineLevelRow="2"/>
  <cols>
    <col min="1" max="1" width="2.83203125" customWidth="1"/>
    <col min="2" max="2" width="6.83203125" bestFit="1" customWidth="1"/>
    <col min="3" max="3" width="23.1640625" customWidth="1"/>
    <col min="4" max="4" width="8.1640625" bestFit="1" customWidth="1"/>
    <col min="5" max="5" width="23.1640625" customWidth="1"/>
    <col min="6" max="6" width="5.33203125" bestFit="1" customWidth="1"/>
    <col min="7" max="7" width="29.5" customWidth="1"/>
    <col min="8" max="8" width="17.5" customWidth="1"/>
  </cols>
  <sheetData>
    <row r="1" spans="1:8" ht="24">
      <c r="A1" s="1076" t="s">
        <v>405</v>
      </c>
      <c r="B1" s="1076"/>
      <c r="C1" s="1076"/>
      <c r="H1" s="1077" t="s">
        <v>406</v>
      </c>
    </row>
    <row r="2" spans="1:8" ht="28.5" customHeight="1">
      <c r="A2" s="1078"/>
      <c r="B2" s="1078" t="s">
        <v>407</v>
      </c>
      <c r="C2" s="1078" t="s">
        <v>408</v>
      </c>
      <c r="D2" s="1078" t="s">
        <v>409</v>
      </c>
      <c r="E2" s="1078" t="s">
        <v>410</v>
      </c>
      <c r="F2" s="1078" t="s">
        <v>411</v>
      </c>
      <c r="G2" s="1078" t="s">
        <v>412</v>
      </c>
      <c r="H2" s="1079" t="s">
        <v>413</v>
      </c>
    </row>
    <row r="3" spans="1:8" outlineLevel="1">
      <c r="F3">
        <v>1505</v>
      </c>
      <c r="G3" t="s">
        <v>414</v>
      </c>
      <c r="H3" s="249">
        <v>369134</v>
      </c>
    </row>
    <row r="4" spans="1:8" outlineLevel="1">
      <c r="F4">
        <v>1405</v>
      </c>
      <c r="G4" t="s">
        <v>415</v>
      </c>
      <c r="H4" s="249">
        <v>265819</v>
      </c>
    </row>
    <row r="5" spans="1:8" outlineLevel="1">
      <c r="F5">
        <v>1110</v>
      </c>
      <c r="G5" t="s">
        <v>416</v>
      </c>
      <c r="H5" s="249">
        <v>168437</v>
      </c>
    </row>
    <row r="6" spans="1:8" outlineLevel="1">
      <c r="F6">
        <v>1110</v>
      </c>
      <c r="G6" t="s">
        <v>416</v>
      </c>
      <c r="H6" s="249">
        <v>168437</v>
      </c>
    </row>
    <row r="7" spans="1:8">
      <c r="A7">
        <v>1</v>
      </c>
      <c r="B7" s="1">
        <v>1200</v>
      </c>
      <c r="C7" s="1" t="s">
        <v>417</v>
      </c>
      <c r="D7" s="1080">
        <v>12510</v>
      </c>
      <c r="E7" s="1080" t="s">
        <v>418</v>
      </c>
      <c r="F7" s="1080"/>
      <c r="G7" s="1080"/>
      <c r="H7" s="1081">
        <f>SUM(H3:H6)</f>
        <v>971827</v>
      </c>
    </row>
    <row r="8" spans="1:8">
      <c r="A8" s="1082">
        <v>1</v>
      </c>
      <c r="B8" s="1082"/>
      <c r="C8" s="1082"/>
      <c r="D8" s="1082"/>
      <c r="E8" s="1083"/>
      <c r="F8" s="1083"/>
      <c r="G8" s="1083" t="s">
        <v>269</v>
      </c>
      <c r="H8" s="1084">
        <f>SUM(H7)</f>
        <v>971827</v>
      </c>
    </row>
    <row r="9" spans="1:8" hidden="1" outlineLevel="2">
      <c r="F9">
        <v>1900</v>
      </c>
      <c r="G9" t="s">
        <v>419</v>
      </c>
      <c r="H9" s="249">
        <v>1052415</v>
      </c>
    </row>
    <row r="10" spans="1:8" hidden="1" outlineLevel="2">
      <c r="F10">
        <v>1800</v>
      </c>
      <c r="G10" t="s">
        <v>420</v>
      </c>
      <c r="H10" s="249">
        <v>833614</v>
      </c>
    </row>
    <row r="11" spans="1:8" hidden="1" outlineLevel="2">
      <c r="C11" t="s">
        <v>275</v>
      </c>
      <c r="F11">
        <v>1800</v>
      </c>
      <c r="G11" t="s">
        <v>420</v>
      </c>
      <c r="H11" s="249">
        <v>142727</v>
      </c>
    </row>
    <row r="12" spans="1:8" hidden="1" outlineLevel="2">
      <c r="F12">
        <v>1700</v>
      </c>
      <c r="G12" t="s">
        <v>421</v>
      </c>
      <c r="H12" s="249">
        <v>183456</v>
      </c>
    </row>
    <row r="13" spans="1:8" hidden="1" outlineLevel="2">
      <c r="F13">
        <v>1505</v>
      </c>
      <c r="G13" t="s">
        <v>414</v>
      </c>
      <c r="H13" s="249">
        <v>224654</v>
      </c>
    </row>
    <row r="14" spans="1:8" hidden="1" outlineLevel="2">
      <c r="F14">
        <v>1505</v>
      </c>
      <c r="G14" t="s">
        <v>414</v>
      </c>
      <c r="H14" s="249">
        <v>89161</v>
      </c>
    </row>
    <row r="15" spans="1:8" hidden="1" outlineLevel="2">
      <c r="F15">
        <v>1420</v>
      </c>
      <c r="G15" t="s">
        <v>422</v>
      </c>
      <c r="H15" s="249">
        <v>64560</v>
      </c>
    </row>
    <row r="16" spans="1:8" hidden="1" outlineLevel="2">
      <c r="F16">
        <v>1410</v>
      </c>
      <c r="G16" t="s">
        <v>78</v>
      </c>
      <c r="H16" s="249">
        <v>157838</v>
      </c>
    </row>
    <row r="17" spans="3:8" hidden="1" outlineLevel="2">
      <c r="F17">
        <v>1405</v>
      </c>
      <c r="G17" t="s">
        <v>415</v>
      </c>
      <c r="H17" s="249">
        <v>305427</v>
      </c>
    </row>
    <row r="18" spans="3:8" hidden="1" outlineLevel="2">
      <c r="F18">
        <v>1387</v>
      </c>
      <c r="G18" t="s">
        <v>423</v>
      </c>
      <c r="H18" s="249">
        <v>307210</v>
      </c>
    </row>
    <row r="19" spans="3:8" hidden="1" outlineLevel="2">
      <c r="F19">
        <v>1379</v>
      </c>
      <c r="G19" t="s">
        <v>424</v>
      </c>
      <c r="H19" s="249">
        <v>0</v>
      </c>
    </row>
    <row r="20" spans="3:8" hidden="1" outlineLevel="2">
      <c r="F20">
        <v>1370</v>
      </c>
      <c r="G20" t="s">
        <v>425</v>
      </c>
      <c r="H20" s="249">
        <v>377790</v>
      </c>
    </row>
    <row r="21" spans="3:8" hidden="1" outlineLevel="2">
      <c r="F21">
        <v>1360</v>
      </c>
      <c r="G21" t="s">
        <v>426</v>
      </c>
      <c r="H21" s="249">
        <v>803567</v>
      </c>
    </row>
    <row r="22" spans="3:8" hidden="1" outlineLevel="2">
      <c r="F22">
        <v>1340</v>
      </c>
      <c r="G22" t="s">
        <v>427</v>
      </c>
      <c r="H22" s="249">
        <v>118641</v>
      </c>
    </row>
    <row r="23" spans="3:8" hidden="1" outlineLevel="2">
      <c r="F23">
        <v>1340</v>
      </c>
      <c r="G23" t="s">
        <v>427</v>
      </c>
      <c r="H23" s="249">
        <v>71742</v>
      </c>
    </row>
    <row r="24" spans="3:8" hidden="1" outlineLevel="2">
      <c r="C24" t="s">
        <v>275</v>
      </c>
      <c r="F24">
        <v>1340</v>
      </c>
      <c r="G24" t="s">
        <v>427</v>
      </c>
      <c r="H24" s="249">
        <v>43534</v>
      </c>
    </row>
    <row r="25" spans="3:8" hidden="1" outlineLevel="2">
      <c r="F25">
        <v>1320</v>
      </c>
      <c r="G25" t="s">
        <v>428</v>
      </c>
      <c r="H25" s="249">
        <v>601246</v>
      </c>
    </row>
    <row r="26" spans="3:8" hidden="1" outlineLevel="2">
      <c r="C26" t="s">
        <v>275</v>
      </c>
      <c r="F26">
        <v>1220</v>
      </c>
      <c r="G26" t="s">
        <v>429</v>
      </c>
      <c r="H26" s="249">
        <v>35026</v>
      </c>
    </row>
    <row r="27" spans="3:8" hidden="1" outlineLevel="2">
      <c r="F27">
        <v>1220</v>
      </c>
      <c r="G27" t="s">
        <v>429</v>
      </c>
      <c r="H27" s="249">
        <v>436350</v>
      </c>
    </row>
    <row r="28" spans="3:8" hidden="1" outlineLevel="2">
      <c r="F28">
        <v>1210</v>
      </c>
      <c r="G28" t="s">
        <v>430</v>
      </c>
      <c r="H28" s="249">
        <v>79452</v>
      </c>
    </row>
    <row r="29" spans="3:8" hidden="1" outlineLevel="2">
      <c r="F29">
        <v>1125</v>
      </c>
      <c r="G29" t="s">
        <v>431</v>
      </c>
      <c r="H29" s="249">
        <v>66432</v>
      </c>
    </row>
    <row r="30" spans="3:8" hidden="1" outlineLevel="1" collapsed="1">
      <c r="D30" s="1080">
        <v>21110</v>
      </c>
      <c r="E30" s="1080" t="s">
        <v>432</v>
      </c>
      <c r="F30" s="1080"/>
      <c r="G30" s="1080"/>
      <c r="H30" s="1081">
        <f>SUM(H9:H29)</f>
        <v>5994842</v>
      </c>
    </row>
    <row r="31" spans="3:8" hidden="1" outlineLevel="1">
      <c r="D31" s="1085">
        <v>21130</v>
      </c>
      <c r="E31" s="1085" t="s">
        <v>433</v>
      </c>
      <c r="F31" s="1085">
        <v>1800</v>
      </c>
      <c r="G31" s="1085" t="s">
        <v>420</v>
      </c>
      <c r="H31" s="1086">
        <v>0</v>
      </c>
    </row>
    <row r="32" spans="3:8" hidden="1" outlineLevel="2">
      <c r="F32">
        <v>1900</v>
      </c>
      <c r="G32" t="s">
        <v>419</v>
      </c>
      <c r="H32" s="249">
        <v>148693</v>
      </c>
    </row>
    <row r="33" spans="6:8" hidden="1" outlineLevel="2">
      <c r="F33">
        <v>1800</v>
      </c>
      <c r="G33" t="s">
        <v>420</v>
      </c>
      <c r="H33" s="249">
        <v>148693</v>
      </c>
    </row>
    <row r="34" spans="6:8" hidden="1" outlineLevel="2">
      <c r="F34">
        <v>1505</v>
      </c>
      <c r="G34" t="s">
        <v>414</v>
      </c>
      <c r="H34" s="249">
        <v>0</v>
      </c>
    </row>
    <row r="35" spans="6:8" hidden="1" outlineLevel="2">
      <c r="F35">
        <v>1420</v>
      </c>
      <c r="G35" t="s">
        <v>422</v>
      </c>
      <c r="H35" s="249">
        <v>112624</v>
      </c>
    </row>
    <row r="36" spans="6:8" hidden="1" outlineLevel="2">
      <c r="F36">
        <v>1405</v>
      </c>
      <c r="G36" t="s">
        <v>415</v>
      </c>
      <c r="H36" s="249">
        <v>303297</v>
      </c>
    </row>
    <row r="37" spans="6:8" hidden="1" outlineLevel="2">
      <c r="F37">
        <v>1387</v>
      </c>
      <c r="G37" t="s">
        <v>423</v>
      </c>
      <c r="H37" s="249">
        <v>230417</v>
      </c>
    </row>
    <row r="38" spans="6:8" hidden="1" outlineLevel="2">
      <c r="F38">
        <v>1380</v>
      </c>
      <c r="G38" t="s">
        <v>434</v>
      </c>
      <c r="H38" s="249">
        <v>133931</v>
      </c>
    </row>
    <row r="39" spans="6:8" hidden="1" outlineLevel="2">
      <c r="F39">
        <v>1377</v>
      </c>
      <c r="G39" t="s">
        <v>435</v>
      </c>
      <c r="H39" s="249">
        <v>170301</v>
      </c>
    </row>
    <row r="40" spans="6:8" hidden="1" outlineLevel="2">
      <c r="F40">
        <v>1370</v>
      </c>
      <c r="G40" t="s">
        <v>425</v>
      </c>
      <c r="H40" s="249">
        <v>116233</v>
      </c>
    </row>
    <row r="41" spans="6:8" hidden="1" outlineLevel="2">
      <c r="F41">
        <v>1360</v>
      </c>
      <c r="G41" t="s">
        <v>426</v>
      </c>
      <c r="H41" s="249">
        <v>119958</v>
      </c>
    </row>
    <row r="42" spans="6:8" hidden="1" outlineLevel="2">
      <c r="F42">
        <v>1355</v>
      </c>
      <c r="G42" t="s">
        <v>436</v>
      </c>
      <c r="H42" s="249">
        <v>39495</v>
      </c>
    </row>
    <row r="43" spans="6:8" hidden="1" outlineLevel="2">
      <c r="F43">
        <v>1355</v>
      </c>
      <c r="G43" t="s">
        <v>436</v>
      </c>
      <c r="H43" s="249">
        <v>102688</v>
      </c>
    </row>
    <row r="44" spans="6:8" hidden="1" outlineLevel="2">
      <c r="F44">
        <v>1340</v>
      </c>
      <c r="G44" t="s">
        <v>427</v>
      </c>
      <c r="H44" s="249">
        <v>169362</v>
      </c>
    </row>
    <row r="45" spans="6:8" hidden="1" outlineLevel="2">
      <c r="F45">
        <v>1340</v>
      </c>
      <c r="G45" t="s">
        <v>427</v>
      </c>
      <c r="H45" s="249">
        <v>235033</v>
      </c>
    </row>
    <row r="46" spans="6:8" hidden="1" outlineLevel="2">
      <c r="F46">
        <v>1315</v>
      </c>
      <c r="G46" t="s">
        <v>437</v>
      </c>
      <c r="H46" s="249">
        <v>106327</v>
      </c>
    </row>
    <row r="47" spans="6:8" hidden="1" outlineLevel="2">
      <c r="F47">
        <v>1315</v>
      </c>
      <c r="G47" t="s">
        <v>437</v>
      </c>
      <c r="H47" s="249">
        <v>93037</v>
      </c>
    </row>
    <row r="48" spans="6:8" hidden="1" outlineLevel="2">
      <c r="F48">
        <v>1220</v>
      </c>
      <c r="G48" t="s">
        <v>429</v>
      </c>
      <c r="H48" s="249">
        <v>125471</v>
      </c>
    </row>
    <row r="49" spans="1:8" hidden="1" outlineLevel="2">
      <c r="F49">
        <v>1210</v>
      </c>
      <c r="G49" t="s">
        <v>430</v>
      </c>
      <c r="H49" s="249">
        <v>153261</v>
      </c>
    </row>
    <row r="50" spans="1:8" hidden="1" outlineLevel="2">
      <c r="F50">
        <v>1125</v>
      </c>
      <c r="G50" t="s">
        <v>431</v>
      </c>
      <c r="H50" s="249">
        <v>159978</v>
      </c>
    </row>
    <row r="51" spans="1:8" hidden="1" outlineLevel="2">
      <c r="F51">
        <v>1110</v>
      </c>
      <c r="G51" t="s">
        <v>416</v>
      </c>
      <c r="H51" s="249">
        <v>115007</v>
      </c>
    </row>
    <row r="52" spans="1:8" hidden="1" outlineLevel="1" collapsed="1">
      <c r="D52" s="1080">
        <v>21510</v>
      </c>
      <c r="E52" s="1080" t="s">
        <v>438</v>
      </c>
      <c r="F52" s="1087"/>
      <c r="G52" s="1087"/>
      <c r="H52" s="1081">
        <f>SUM(H32:H51)</f>
        <v>2783806</v>
      </c>
    </row>
    <row r="53" spans="1:8" hidden="1" outlineLevel="1">
      <c r="D53" s="1085">
        <v>21530</v>
      </c>
      <c r="E53" s="1085" t="s">
        <v>439</v>
      </c>
      <c r="F53" s="1085">
        <v>1800</v>
      </c>
      <c r="G53" s="1085" t="s">
        <v>420</v>
      </c>
      <c r="H53" s="1086">
        <v>0</v>
      </c>
    </row>
    <row r="54" spans="1:8" hidden="1" outlineLevel="2">
      <c r="F54">
        <v>1505</v>
      </c>
      <c r="G54" t="s">
        <v>414</v>
      </c>
      <c r="H54" s="249">
        <v>94394</v>
      </c>
    </row>
    <row r="55" spans="1:8" hidden="1" outlineLevel="2">
      <c r="F55">
        <v>1405</v>
      </c>
      <c r="G55" t="s">
        <v>415</v>
      </c>
      <c r="H55" s="249">
        <v>681784</v>
      </c>
    </row>
    <row r="56" spans="1:8" hidden="1" outlineLevel="2">
      <c r="F56">
        <v>1405</v>
      </c>
      <c r="G56" t="s">
        <v>415</v>
      </c>
      <c r="H56" s="249">
        <v>91272</v>
      </c>
    </row>
    <row r="57" spans="1:8" hidden="1" outlineLevel="2">
      <c r="F57">
        <v>1315</v>
      </c>
      <c r="G57" t="s">
        <v>437</v>
      </c>
      <c r="H57" s="249">
        <v>60146</v>
      </c>
    </row>
    <row r="58" spans="1:8" hidden="1" outlineLevel="2">
      <c r="D58" s="1080"/>
      <c r="E58" s="1080"/>
      <c r="F58" s="1080">
        <v>1110</v>
      </c>
      <c r="G58" s="1080" t="s">
        <v>416</v>
      </c>
      <c r="H58" s="1088">
        <v>95434</v>
      </c>
    </row>
    <row r="59" spans="1:8" hidden="1" outlineLevel="1">
      <c r="A59" s="1080"/>
      <c r="B59" s="1080"/>
      <c r="C59" s="1080"/>
      <c r="D59" s="1080">
        <v>21610</v>
      </c>
      <c r="E59" s="1080" t="s">
        <v>440</v>
      </c>
      <c r="F59" s="1080"/>
      <c r="G59" s="1080"/>
      <c r="H59" s="1081">
        <f>SUM(H54:H58)</f>
        <v>1023030</v>
      </c>
    </row>
    <row r="60" spans="1:8" ht="16" collapsed="1" thickBot="1">
      <c r="A60" s="919">
        <v>2</v>
      </c>
      <c r="B60" s="1089">
        <v>2100</v>
      </c>
      <c r="C60" s="1089" t="s">
        <v>441</v>
      </c>
      <c r="D60" s="919"/>
      <c r="E60" s="919"/>
      <c r="F60" s="919"/>
      <c r="G60" s="919"/>
      <c r="H60" s="1090">
        <f>SUM(H30+H31+H52+H53+H59)</f>
        <v>9801678</v>
      </c>
    </row>
    <row r="61" spans="1:8" hidden="1" outlineLevel="2">
      <c r="F61">
        <v>1405</v>
      </c>
      <c r="G61" t="s">
        <v>415</v>
      </c>
      <c r="H61" s="249">
        <v>0</v>
      </c>
    </row>
    <row r="62" spans="1:8" hidden="1" outlineLevel="2">
      <c r="F62">
        <v>1387</v>
      </c>
      <c r="G62" t="s">
        <v>423</v>
      </c>
      <c r="H62" s="249">
        <v>5370</v>
      </c>
    </row>
    <row r="63" spans="1:8" hidden="1" outlineLevel="2">
      <c r="F63">
        <v>1370</v>
      </c>
      <c r="G63" t="s">
        <v>425</v>
      </c>
      <c r="H63" s="249">
        <v>10000</v>
      </c>
    </row>
    <row r="64" spans="1:8" hidden="1" outlineLevel="2">
      <c r="F64">
        <v>1360</v>
      </c>
      <c r="G64" t="s">
        <v>426</v>
      </c>
      <c r="H64" s="249">
        <v>3000</v>
      </c>
    </row>
    <row r="65" spans="4:8" hidden="1" outlineLevel="2">
      <c r="F65">
        <v>1340</v>
      </c>
      <c r="G65" t="s">
        <v>427</v>
      </c>
      <c r="H65" s="249">
        <v>0</v>
      </c>
    </row>
    <row r="66" spans="4:8" hidden="1" outlineLevel="2">
      <c r="F66">
        <v>1110</v>
      </c>
      <c r="G66" t="s">
        <v>416</v>
      </c>
      <c r="H66" s="249">
        <v>0</v>
      </c>
    </row>
    <row r="67" spans="4:8" hidden="1" outlineLevel="1" collapsed="1">
      <c r="D67" s="1080">
        <v>23100</v>
      </c>
      <c r="E67" s="1080" t="s">
        <v>442</v>
      </c>
      <c r="F67" s="1080"/>
      <c r="G67" s="1080"/>
      <c r="H67" s="1081">
        <f>SUM(H61:H66)</f>
        <v>18370</v>
      </c>
    </row>
    <row r="68" spans="4:8" hidden="1" outlineLevel="2">
      <c r="F68">
        <v>1405</v>
      </c>
      <c r="G68" t="s">
        <v>415</v>
      </c>
      <c r="H68" s="249">
        <v>0</v>
      </c>
    </row>
    <row r="69" spans="4:8" hidden="1" outlineLevel="2">
      <c r="F69">
        <v>1340</v>
      </c>
      <c r="G69" t="s">
        <v>427</v>
      </c>
      <c r="H69" s="249">
        <v>0</v>
      </c>
    </row>
    <row r="70" spans="4:8" hidden="1" outlineLevel="2">
      <c r="F70">
        <v>1125</v>
      </c>
      <c r="G70" t="s">
        <v>431</v>
      </c>
      <c r="H70" s="249">
        <v>0</v>
      </c>
    </row>
    <row r="71" spans="4:8" hidden="1" outlineLevel="2">
      <c r="F71">
        <v>1125</v>
      </c>
      <c r="G71" t="s">
        <v>431</v>
      </c>
      <c r="H71" s="249">
        <v>0</v>
      </c>
    </row>
    <row r="72" spans="4:8" hidden="1" outlineLevel="1" collapsed="1">
      <c r="D72" s="1080">
        <v>23400</v>
      </c>
      <c r="E72" s="1080" t="s">
        <v>443</v>
      </c>
      <c r="F72" s="1080"/>
      <c r="G72" s="1080"/>
      <c r="H72" s="1081">
        <f>SUM(H68:H71)</f>
        <v>0</v>
      </c>
    </row>
    <row r="73" spans="4:8" hidden="1" outlineLevel="2">
      <c r="F73">
        <v>1900</v>
      </c>
      <c r="G73" t="s">
        <v>419</v>
      </c>
      <c r="H73" s="249">
        <v>0</v>
      </c>
    </row>
    <row r="74" spans="4:8" hidden="1" outlineLevel="2">
      <c r="F74">
        <v>1800</v>
      </c>
      <c r="G74" t="s">
        <v>420</v>
      </c>
      <c r="H74" s="249">
        <v>0</v>
      </c>
    </row>
    <row r="75" spans="4:8" hidden="1" outlineLevel="2">
      <c r="F75">
        <v>1505</v>
      </c>
      <c r="G75" t="s">
        <v>414</v>
      </c>
      <c r="H75" s="249">
        <v>0</v>
      </c>
    </row>
    <row r="76" spans="4:8" hidden="1" outlineLevel="2">
      <c r="F76">
        <v>1405</v>
      </c>
      <c r="G76" t="s">
        <v>415</v>
      </c>
      <c r="H76" s="249">
        <v>0</v>
      </c>
    </row>
    <row r="77" spans="4:8" hidden="1" outlineLevel="2">
      <c r="F77">
        <v>1370</v>
      </c>
      <c r="G77" t="s">
        <v>425</v>
      </c>
      <c r="H77" s="249">
        <v>0</v>
      </c>
    </row>
    <row r="78" spans="4:8" hidden="1" outlineLevel="2">
      <c r="F78">
        <v>1360</v>
      </c>
      <c r="G78" t="s">
        <v>426</v>
      </c>
      <c r="H78" s="249">
        <v>0</v>
      </c>
    </row>
    <row r="79" spans="4:8" hidden="1" outlineLevel="2">
      <c r="F79">
        <v>1360</v>
      </c>
      <c r="G79" t="s">
        <v>426</v>
      </c>
      <c r="H79" s="249">
        <v>0</v>
      </c>
    </row>
    <row r="80" spans="4:8" hidden="1" outlineLevel="1" collapsed="1">
      <c r="D80" s="1080">
        <v>23700</v>
      </c>
      <c r="E80" s="1080" t="s">
        <v>444</v>
      </c>
      <c r="F80" s="1080"/>
      <c r="G80" s="1080"/>
      <c r="H80" s="1081">
        <f>SUM(H73:H79)</f>
        <v>0</v>
      </c>
    </row>
    <row r="81" spans="1:8" hidden="1" outlineLevel="2">
      <c r="F81">
        <v>1800</v>
      </c>
      <c r="G81" t="s">
        <v>420</v>
      </c>
      <c r="H81" s="249">
        <v>0</v>
      </c>
    </row>
    <row r="82" spans="1:8" hidden="1" outlineLevel="2">
      <c r="F82">
        <v>1505</v>
      </c>
      <c r="G82" t="s">
        <v>414</v>
      </c>
      <c r="H82" s="249">
        <v>0</v>
      </c>
    </row>
    <row r="83" spans="1:8" hidden="1" outlineLevel="2">
      <c r="F83">
        <v>1405</v>
      </c>
      <c r="G83" t="s">
        <v>415</v>
      </c>
      <c r="H83" s="249">
        <v>0</v>
      </c>
    </row>
    <row r="84" spans="1:8" hidden="1" outlineLevel="1" collapsed="1">
      <c r="D84" s="1080">
        <v>23800</v>
      </c>
      <c r="E84" s="1080" t="s">
        <v>445</v>
      </c>
      <c r="F84" s="1080"/>
      <c r="G84" s="1080"/>
      <c r="H84" s="1081">
        <f>SUM(H81:H83)</f>
        <v>0</v>
      </c>
    </row>
    <row r="85" spans="1:8" hidden="1" outlineLevel="1">
      <c r="A85" s="1080"/>
      <c r="B85" s="1080"/>
      <c r="C85" s="1080"/>
      <c r="D85" s="1080">
        <v>23950</v>
      </c>
      <c r="E85" s="1080" t="s">
        <v>446</v>
      </c>
      <c r="F85" s="1080">
        <v>1150</v>
      </c>
      <c r="G85" s="1080" t="s">
        <v>447</v>
      </c>
      <c r="H85" s="1081">
        <v>74000</v>
      </c>
    </row>
    <row r="86" spans="1:8" collapsed="1">
      <c r="A86" s="1085">
        <v>2</v>
      </c>
      <c r="B86" s="1091">
        <v>2300</v>
      </c>
      <c r="C86" s="1091" t="s">
        <v>448</v>
      </c>
      <c r="D86" s="1085"/>
      <c r="E86" s="1085"/>
      <c r="F86" s="1085"/>
      <c r="G86" s="1085"/>
      <c r="H86" s="1086">
        <f>SUM(H67+H72+H80+H84+H85)</f>
        <v>92370</v>
      </c>
    </row>
    <row r="87" spans="1:8">
      <c r="A87" s="1092">
        <v>2</v>
      </c>
      <c r="B87" s="1092"/>
      <c r="C87" s="1092"/>
      <c r="D87" s="1092"/>
      <c r="E87" s="1093"/>
      <c r="F87" s="1093"/>
      <c r="G87" s="1093" t="s">
        <v>270</v>
      </c>
      <c r="H87" s="1094">
        <f>SUM(H60+H86)</f>
        <v>9894048</v>
      </c>
    </row>
    <row r="88" spans="1:8" hidden="1" outlineLevel="1">
      <c r="F88">
        <v>1387</v>
      </c>
      <c r="G88" t="s">
        <v>423</v>
      </c>
      <c r="H88" s="249">
        <v>440</v>
      </c>
    </row>
    <row r="89" spans="1:8" hidden="1" outlineLevel="1">
      <c r="F89">
        <v>1370</v>
      </c>
      <c r="G89" t="s">
        <v>425</v>
      </c>
      <c r="H89" s="249">
        <v>820</v>
      </c>
    </row>
    <row r="90" spans="1:8" hidden="1" outlineLevel="1">
      <c r="F90">
        <v>1360</v>
      </c>
      <c r="G90" t="s">
        <v>426</v>
      </c>
      <c r="H90" s="249">
        <v>246</v>
      </c>
    </row>
    <row r="91" spans="1:8" hidden="1" outlineLevel="1">
      <c r="F91">
        <v>1150</v>
      </c>
      <c r="G91" t="s">
        <v>447</v>
      </c>
      <c r="H91" s="249">
        <v>6771</v>
      </c>
    </row>
    <row r="92" spans="1:8" ht="16" collapsed="1" thickBot="1">
      <c r="A92" s="919">
        <v>3</v>
      </c>
      <c r="B92" s="1089">
        <v>3000</v>
      </c>
      <c r="C92" s="1089" t="s">
        <v>449</v>
      </c>
      <c r="D92" s="919"/>
      <c r="E92" s="919"/>
      <c r="F92" s="919"/>
      <c r="G92" s="919"/>
      <c r="H92" s="1090">
        <f>SUM(H88:H91)</f>
        <v>8277</v>
      </c>
    </row>
    <row r="93" spans="1:8" ht="16" thickBot="1">
      <c r="A93" s="1095">
        <v>3</v>
      </c>
      <c r="B93" s="1096">
        <v>3100</v>
      </c>
      <c r="C93" s="1096" t="s">
        <v>450</v>
      </c>
      <c r="D93" s="1095"/>
      <c r="E93" s="1095"/>
      <c r="F93" s="1095">
        <v>1505</v>
      </c>
      <c r="G93" s="1095" t="s">
        <v>414</v>
      </c>
      <c r="H93" s="1097">
        <v>41657</v>
      </c>
    </row>
    <row r="94" spans="1:8" hidden="1" outlineLevel="1">
      <c r="F94">
        <v>1900</v>
      </c>
      <c r="G94" t="s">
        <v>419</v>
      </c>
      <c r="H94" s="249">
        <v>220828</v>
      </c>
    </row>
    <row r="95" spans="1:8" hidden="1" outlineLevel="1">
      <c r="F95">
        <v>1800</v>
      </c>
      <c r="G95" t="s">
        <v>420</v>
      </c>
      <c r="H95" s="249">
        <v>182015</v>
      </c>
    </row>
    <row r="96" spans="1:8" hidden="1" outlineLevel="1">
      <c r="C96" t="s">
        <v>275</v>
      </c>
      <c r="F96">
        <v>1800</v>
      </c>
      <c r="G96" t="s">
        <v>420</v>
      </c>
      <c r="H96" s="249">
        <v>26701</v>
      </c>
    </row>
    <row r="97" spans="6:8" hidden="1" outlineLevel="1">
      <c r="F97">
        <v>1700</v>
      </c>
      <c r="G97" t="s">
        <v>421</v>
      </c>
      <c r="H97" s="249">
        <v>33288</v>
      </c>
    </row>
    <row r="98" spans="6:8" hidden="1" outlineLevel="1">
      <c r="F98">
        <v>1505</v>
      </c>
      <c r="G98" t="s">
        <v>414</v>
      </c>
      <c r="H98" s="249">
        <v>78932</v>
      </c>
    </row>
    <row r="99" spans="6:8" hidden="1" outlineLevel="1">
      <c r="F99">
        <v>1505</v>
      </c>
      <c r="G99" t="s">
        <v>414</v>
      </c>
      <c r="H99" s="249">
        <v>16138</v>
      </c>
    </row>
    <row r="100" spans="6:8" hidden="1" outlineLevel="1">
      <c r="F100">
        <v>1420</v>
      </c>
      <c r="G100" t="s">
        <v>422</v>
      </c>
      <c r="H100" s="249">
        <v>31913</v>
      </c>
    </row>
    <row r="101" spans="6:8" hidden="1" outlineLevel="1">
      <c r="F101">
        <v>1410</v>
      </c>
      <c r="G101" t="s">
        <v>78</v>
      </c>
      <c r="H101" s="249">
        <v>28236</v>
      </c>
    </row>
    <row r="102" spans="6:8" hidden="1" outlineLevel="1">
      <c r="F102">
        <v>1405</v>
      </c>
      <c r="G102" t="s">
        <v>415</v>
      </c>
      <c r="H102" s="249">
        <v>232878</v>
      </c>
    </row>
    <row r="103" spans="6:8" hidden="1" outlineLevel="1">
      <c r="F103">
        <v>1405</v>
      </c>
      <c r="G103" t="s">
        <v>415</v>
      </c>
      <c r="H103" s="249">
        <v>66255</v>
      </c>
    </row>
    <row r="104" spans="6:8" hidden="1" outlineLevel="1">
      <c r="F104">
        <v>1387</v>
      </c>
      <c r="G104" t="s">
        <v>423</v>
      </c>
      <c r="H104" s="249">
        <v>97075</v>
      </c>
    </row>
    <row r="105" spans="6:8" hidden="1" outlineLevel="1">
      <c r="F105">
        <v>1380</v>
      </c>
      <c r="G105" t="s">
        <v>434</v>
      </c>
      <c r="H105" s="249">
        <v>24828</v>
      </c>
    </row>
    <row r="106" spans="6:8" hidden="1" outlineLevel="1">
      <c r="F106">
        <v>1379</v>
      </c>
      <c r="G106" t="s">
        <v>424</v>
      </c>
      <c r="H106" s="249">
        <v>0</v>
      </c>
    </row>
    <row r="107" spans="6:8" hidden="1" outlineLevel="1">
      <c r="F107">
        <v>1377</v>
      </c>
      <c r="G107" t="s">
        <v>435</v>
      </c>
      <c r="H107" s="249">
        <v>31209</v>
      </c>
    </row>
    <row r="108" spans="6:8" hidden="1" outlineLevel="1">
      <c r="F108">
        <v>1370</v>
      </c>
      <c r="G108" t="s">
        <v>425</v>
      </c>
      <c r="H108" s="249">
        <v>88615</v>
      </c>
    </row>
    <row r="109" spans="6:8" hidden="1" outlineLevel="1">
      <c r="F109">
        <v>1360</v>
      </c>
      <c r="G109" t="s">
        <v>426</v>
      </c>
      <c r="H109" s="249">
        <v>166089</v>
      </c>
    </row>
    <row r="110" spans="6:8" hidden="1" outlineLevel="1">
      <c r="F110">
        <v>1355</v>
      </c>
      <c r="G110" t="s">
        <v>436</v>
      </c>
      <c r="H110" s="249">
        <v>7393</v>
      </c>
    </row>
    <row r="111" spans="6:8" hidden="1" outlineLevel="1">
      <c r="F111">
        <v>1355</v>
      </c>
      <c r="G111" t="s">
        <v>436</v>
      </c>
      <c r="H111" s="249">
        <v>19221</v>
      </c>
    </row>
    <row r="112" spans="6:8" hidden="1" outlineLevel="1">
      <c r="F112">
        <v>1340</v>
      </c>
      <c r="G112" t="s">
        <v>427</v>
      </c>
      <c r="H112" s="249">
        <v>53076</v>
      </c>
    </row>
    <row r="113" spans="1:8" hidden="1" outlineLevel="1">
      <c r="F113">
        <v>1340</v>
      </c>
      <c r="G113" t="s">
        <v>427</v>
      </c>
      <c r="H113" s="249">
        <v>54440</v>
      </c>
    </row>
    <row r="114" spans="1:8" hidden="1" outlineLevel="1">
      <c r="C114" t="s">
        <v>275</v>
      </c>
      <c r="F114">
        <v>1340</v>
      </c>
      <c r="G114" t="s">
        <v>427</v>
      </c>
      <c r="H114" s="249">
        <v>7831</v>
      </c>
    </row>
    <row r="115" spans="1:8" hidden="1" outlineLevel="1">
      <c r="F115">
        <v>1320</v>
      </c>
      <c r="G115" t="s">
        <v>428</v>
      </c>
      <c r="H115" s="249">
        <v>105564</v>
      </c>
    </row>
    <row r="116" spans="1:8" hidden="1" outlineLevel="1">
      <c r="F116">
        <v>1315</v>
      </c>
      <c r="G116" t="s">
        <v>437</v>
      </c>
      <c r="H116" s="249">
        <v>19936</v>
      </c>
    </row>
    <row r="117" spans="1:8" hidden="1" outlineLevel="1">
      <c r="F117">
        <v>1315</v>
      </c>
      <c r="G117" t="s">
        <v>437</v>
      </c>
      <c r="H117" s="249">
        <v>28117</v>
      </c>
    </row>
    <row r="118" spans="1:8" hidden="1" outlineLevel="1">
      <c r="F118">
        <v>1220</v>
      </c>
      <c r="G118" t="s">
        <v>429</v>
      </c>
      <c r="H118" s="249">
        <v>101150</v>
      </c>
    </row>
    <row r="119" spans="1:8" hidden="1" outlineLevel="1">
      <c r="F119">
        <v>1210</v>
      </c>
      <c r="G119" t="s">
        <v>430</v>
      </c>
      <c r="H119" s="249">
        <v>42863</v>
      </c>
    </row>
    <row r="120" spans="1:8" hidden="1" outlineLevel="1">
      <c r="C120" t="s">
        <v>275</v>
      </c>
      <c r="F120">
        <v>1220</v>
      </c>
      <c r="G120" t="s">
        <v>429</v>
      </c>
      <c r="H120" s="249">
        <v>6298</v>
      </c>
    </row>
    <row r="121" spans="1:8" hidden="1" outlineLevel="1">
      <c r="F121">
        <v>1125</v>
      </c>
      <c r="G121" t="s">
        <v>431</v>
      </c>
      <c r="H121" s="249">
        <v>41620</v>
      </c>
    </row>
    <row r="122" spans="1:8" hidden="1" outlineLevel="1">
      <c r="F122">
        <v>1110</v>
      </c>
      <c r="G122" t="s">
        <v>416</v>
      </c>
      <c r="H122" s="249">
        <v>31789</v>
      </c>
    </row>
    <row r="123" spans="1:8" hidden="1" outlineLevel="1">
      <c r="F123">
        <v>1110</v>
      </c>
      <c r="G123" t="s">
        <v>416</v>
      </c>
      <c r="H123" s="249">
        <v>70121</v>
      </c>
    </row>
    <row r="124" spans="1:8" ht="16" collapsed="1" thickBot="1">
      <c r="A124" s="919">
        <v>3</v>
      </c>
      <c r="B124" s="1089">
        <v>3200</v>
      </c>
      <c r="C124" s="1089" t="s">
        <v>451</v>
      </c>
      <c r="D124" s="919"/>
      <c r="E124" s="919"/>
      <c r="F124" s="919"/>
      <c r="G124" s="919"/>
      <c r="H124" s="1090">
        <f>SUM(H94:H123)</f>
        <v>1914419</v>
      </c>
    </row>
    <row r="125" spans="1:8" hidden="1" outlineLevel="1">
      <c r="F125">
        <v>1900</v>
      </c>
      <c r="G125" t="s">
        <v>419</v>
      </c>
      <c r="H125" s="249">
        <v>91885</v>
      </c>
    </row>
    <row r="126" spans="1:8" hidden="1" outlineLevel="1">
      <c r="F126">
        <v>1800</v>
      </c>
      <c r="G126" t="s">
        <v>420</v>
      </c>
      <c r="H126" s="249">
        <v>75146</v>
      </c>
    </row>
    <row r="127" spans="1:8" hidden="1" outlineLevel="1">
      <c r="C127" t="s">
        <v>275</v>
      </c>
      <c r="F127">
        <v>1800</v>
      </c>
      <c r="G127" t="s">
        <v>420</v>
      </c>
      <c r="H127" s="249">
        <v>10919</v>
      </c>
    </row>
    <row r="128" spans="1:8" hidden="1" outlineLevel="1">
      <c r="F128">
        <v>1700</v>
      </c>
      <c r="G128" t="s">
        <v>421</v>
      </c>
      <c r="H128" s="249">
        <v>14034</v>
      </c>
    </row>
    <row r="129" spans="6:8" hidden="1" outlineLevel="1">
      <c r="F129">
        <v>1505</v>
      </c>
      <c r="G129" t="s">
        <v>414</v>
      </c>
      <c r="H129" s="249">
        <v>36742</v>
      </c>
    </row>
    <row r="130" spans="6:8" hidden="1" outlineLevel="1">
      <c r="F130">
        <v>1505</v>
      </c>
      <c r="G130" t="s">
        <v>414</v>
      </c>
      <c r="H130" s="249">
        <v>6821</v>
      </c>
    </row>
    <row r="131" spans="6:8" hidden="1" outlineLevel="1">
      <c r="F131">
        <v>1420</v>
      </c>
      <c r="G131" t="s">
        <v>422</v>
      </c>
      <c r="H131" s="249">
        <v>13555</v>
      </c>
    </row>
    <row r="132" spans="6:8" hidden="1" outlineLevel="1">
      <c r="F132">
        <v>1410</v>
      </c>
      <c r="G132" t="s">
        <v>78</v>
      </c>
      <c r="H132" s="249">
        <v>12075</v>
      </c>
    </row>
    <row r="133" spans="6:8" hidden="1" outlineLevel="1">
      <c r="F133">
        <v>1405</v>
      </c>
      <c r="G133" t="s">
        <v>415</v>
      </c>
      <c r="H133" s="249">
        <v>0</v>
      </c>
    </row>
    <row r="134" spans="6:8" hidden="1" outlineLevel="1">
      <c r="F134">
        <v>1405</v>
      </c>
      <c r="G134" t="s">
        <v>415</v>
      </c>
      <c r="H134" s="249">
        <v>98724</v>
      </c>
    </row>
    <row r="135" spans="6:8" hidden="1" outlineLevel="1">
      <c r="F135">
        <v>1405</v>
      </c>
      <c r="G135" t="s">
        <v>415</v>
      </c>
      <c r="H135" s="249">
        <v>27317</v>
      </c>
    </row>
    <row r="136" spans="6:8" hidden="1" outlineLevel="1">
      <c r="F136">
        <v>1387</v>
      </c>
      <c r="G136" t="s">
        <v>423</v>
      </c>
      <c r="H136" s="249">
        <v>41128</v>
      </c>
    </row>
    <row r="137" spans="6:8" hidden="1" outlineLevel="1">
      <c r="F137">
        <v>1380</v>
      </c>
      <c r="G137" t="s">
        <v>434</v>
      </c>
      <c r="H137" s="249">
        <v>10246</v>
      </c>
    </row>
    <row r="138" spans="6:8" hidden="1" outlineLevel="1">
      <c r="F138">
        <v>1379</v>
      </c>
      <c r="G138" t="s">
        <v>424</v>
      </c>
      <c r="H138" s="249">
        <v>0</v>
      </c>
    </row>
    <row r="139" spans="6:8" hidden="1" outlineLevel="1">
      <c r="F139">
        <v>1377</v>
      </c>
      <c r="G139" t="s">
        <v>435</v>
      </c>
      <c r="H139" s="249">
        <v>13028</v>
      </c>
    </row>
    <row r="140" spans="6:8" hidden="1" outlineLevel="1">
      <c r="F140">
        <v>1370</v>
      </c>
      <c r="G140" t="s">
        <v>425</v>
      </c>
      <c r="H140" s="249">
        <v>37793</v>
      </c>
    </row>
    <row r="141" spans="6:8" hidden="1" outlineLevel="1">
      <c r="F141">
        <v>1360</v>
      </c>
      <c r="G141" t="s">
        <v>426</v>
      </c>
      <c r="H141" s="249">
        <v>0</v>
      </c>
    </row>
    <row r="142" spans="6:8" hidden="1" outlineLevel="1">
      <c r="F142">
        <v>1360</v>
      </c>
      <c r="G142" t="s">
        <v>426</v>
      </c>
      <c r="H142" s="249">
        <v>70650</v>
      </c>
    </row>
    <row r="143" spans="6:8" hidden="1" outlineLevel="1">
      <c r="F143">
        <v>1355</v>
      </c>
      <c r="G143" t="s">
        <v>436</v>
      </c>
      <c r="H143" s="249">
        <v>3021</v>
      </c>
    </row>
    <row r="144" spans="6:8" hidden="1" outlineLevel="1">
      <c r="F144">
        <v>1355</v>
      </c>
      <c r="G144" t="s">
        <v>436</v>
      </c>
      <c r="H144" s="249">
        <v>7856</v>
      </c>
    </row>
    <row r="145" spans="1:8" hidden="1" outlineLevel="1">
      <c r="F145">
        <v>1340</v>
      </c>
      <c r="G145" t="s">
        <v>427</v>
      </c>
      <c r="H145" s="249">
        <v>22032</v>
      </c>
    </row>
    <row r="146" spans="1:8" hidden="1" outlineLevel="1">
      <c r="F146">
        <v>1340</v>
      </c>
      <c r="G146" t="s">
        <v>427</v>
      </c>
      <c r="H146" s="249">
        <v>23468</v>
      </c>
    </row>
    <row r="147" spans="1:8" hidden="1" outlineLevel="1">
      <c r="C147" t="s">
        <v>275</v>
      </c>
      <c r="F147">
        <v>1340</v>
      </c>
      <c r="G147" t="s">
        <v>427</v>
      </c>
      <c r="H147" s="249">
        <v>3330</v>
      </c>
    </row>
    <row r="148" spans="1:8" hidden="1" outlineLevel="1">
      <c r="F148">
        <v>1320</v>
      </c>
      <c r="G148" t="s">
        <v>428</v>
      </c>
      <c r="H148" s="249">
        <v>45995</v>
      </c>
    </row>
    <row r="149" spans="1:8" hidden="1" outlineLevel="1">
      <c r="F149">
        <v>1315</v>
      </c>
      <c r="G149" t="s">
        <v>437</v>
      </c>
      <c r="H149" s="249">
        <v>8134</v>
      </c>
    </row>
    <row r="150" spans="1:8" hidden="1" outlineLevel="1">
      <c r="F150">
        <v>1315</v>
      </c>
      <c r="G150" t="s">
        <v>437</v>
      </c>
      <c r="H150" s="249">
        <v>11719</v>
      </c>
    </row>
    <row r="151" spans="1:8" hidden="1" outlineLevel="1">
      <c r="F151">
        <v>1220</v>
      </c>
      <c r="G151" t="s">
        <v>429</v>
      </c>
      <c r="H151" s="249">
        <v>42979</v>
      </c>
    </row>
    <row r="152" spans="1:8" hidden="1" outlineLevel="1">
      <c r="C152" t="s">
        <v>275</v>
      </c>
      <c r="F152">
        <v>1220</v>
      </c>
      <c r="G152" t="s">
        <v>429</v>
      </c>
      <c r="H152" s="249">
        <v>2680</v>
      </c>
    </row>
    <row r="153" spans="1:8" hidden="1" outlineLevel="1">
      <c r="F153">
        <v>1210</v>
      </c>
      <c r="G153" t="s">
        <v>430</v>
      </c>
      <c r="H153" s="249">
        <v>17803</v>
      </c>
    </row>
    <row r="154" spans="1:8" hidden="1" outlineLevel="1">
      <c r="F154">
        <v>1150</v>
      </c>
      <c r="G154" t="s">
        <v>447</v>
      </c>
      <c r="H154" s="249">
        <v>0</v>
      </c>
    </row>
    <row r="155" spans="1:8" hidden="1" outlineLevel="1">
      <c r="F155">
        <v>1125</v>
      </c>
      <c r="G155" t="s">
        <v>431</v>
      </c>
      <c r="H155" s="249">
        <v>0</v>
      </c>
    </row>
    <row r="156" spans="1:8" hidden="1" outlineLevel="1">
      <c r="F156">
        <v>1125</v>
      </c>
      <c r="G156" t="s">
        <v>431</v>
      </c>
      <c r="H156" s="249">
        <v>17320</v>
      </c>
    </row>
    <row r="157" spans="1:8" hidden="1" outlineLevel="1">
      <c r="F157">
        <v>1110</v>
      </c>
      <c r="G157" t="s">
        <v>416</v>
      </c>
      <c r="H157" s="249">
        <v>12885</v>
      </c>
    </row>
    <row r="158" spans="1:8" hidden="1" outlineLevel="1">
      <c r="F158">
        <v>1110</v>
      </c>
      <c r="G158" t="s">
        <v>416</v>
      </c>
      <c r="H158" s="249">
        <v>28984</v>
      </c>
    </row>
    <row r="159" spans="1:8" ht="16" collapsed="1" thickBot="1">
      <c r="A159" s="919">
        <v>3</v>
      </c>
      <c r="B159" s="1089">
        <v>3300</v>
      </c>
      <c r="C159" s="1089" t="s">
        <v>452</v>
      </c>
      <c r="D159" s="919"/>
      <c r="E159" s="919"/>
      <c r="F159" s="919"/>
      <c r="G159" s="919"/>
      <c r="H159" s="1090">
        <f>SUM(H125:H158)</f>
        <v>808269</v>
      </c>
    </row>
    <row r="160" spans="1:8" hidden="1" outlineLevel="1">
      <c r="F160">
        <v>1900</v>
      </c>
      <c r="G160" t="s">
        <v>419</v>
      </c>
      <c r="H160" s="249">
        <v>87727</v>
      </c>
    </row>
    <row r="161" spans="3:8" hidden="1" outlineLevel="1">
      <c r="F161">
        <v>1800</v>
      </c>
      <c r="G161" t="s">
        <v>420</v>
      </c>
      <c r="H161" s="249">
        <v>68841</v>
      </c>
    </row>
    <row r="162" spans="3:8" hidden="1" outlineLevel="1">
      <c r="C162" t="s">
        <v>275</v>
      </c>
      <c r="F162">
        <v>1800</v>
      </c>
      <c r="G162" t="s">
        <v>420</v>
      </c>
      <c r="H162" s="249">
        <v>7441</v>
      </c>
    </row>
    <row r="163" spans="3:8" hidden="1" outlineLevel="1">
      <c r="F163">
        <v>1700</v>
      </c>
      <c r="G163" t="s">
        <v>421</v>
      </c>
      <c r="H163" s="249">
        <v>11213</v>
      </c>
    </row>
    <row r="164" spans="3:8" hidden="1" outlineLevel="1">
      <c r="F164">
        <v>1505</v>
      </c>
      <c r="G164" t="s">
        <v>414</v>
      </c>
      <c r="H164" s="249">
        <v>45027</v>
      </c>
    </row>
    <row r="165" spans="3:8" hidden="1" outlineLevel="1">
      <c r="F165">
        <v>1505</v>
      </c>
      <c r="G165" t="s">
        <v>414</v>
      </c>
      <c r="H165" s="249">
        <v>7561</v>
      </c>
    </row>
    <row r="166" spans="3:8" hidden="1" outlineLevel="1">
      <c r="F166">
        <v>1420</v>
      </c>
      <c r="G166" t="s">
        <v>422</v>
      </c>
      <c r="H166" s="249">
        <v>17009</v>
      </c>
    </row>
    <row r="167" spans="3:8" hidden="1" outlineLevel="1">
      <c r="F167">
        <v>1410</v>
      </c>
      <c r="G167" t="s">
        <v>78</v>
      </c>
      <c r="H167" s="249">
        <v>10449</v>
      </c>
    </row>
    <row r="168" spans="3:8" hidden="1" outlineLevel="1">
      <c r="F168">
        <v>1405</v>
      </c>
      <c r="G168" t="s">
        <v>415</v>
      </c>
      <c r="H168" s="249">
        <v>119548</v>
      </c>
    </row>
    <row r="169" spans="3:8" hidden="1" outlineLevel="1">
      <c r="F169">
        <v>1405</v>
      </c>
      <c r="G169" t="s">
        <v>415</v>
      </c>
      <c r="H169" s="249">
        <v>17555</v>
      </c>
    </row>
    <row r="170" spans="3:8" hidden="1" outlineLevel="1">
      <c r="F170">
        <v>1387</v>
      </c>
      <c r="G170" t="s">
        <v>423</v>
      </c>
      <c r="H170" s="249">
        <v>48407</v>
      </c>
    </row>
    <row r="171" spans="3:8" hidden="1" outlineLevel="1">
      <c r="F171">
        <v>1380</v>
      </c>
      <c r="G171" t="s">
        <v>434</v>
      </c>
      <c r="H171" s="249">
        <v>10913</v>
      </c>
    </row>
    <row r="172" spans="3:8" hidden="1" outlineLevel="1">
      <c r="F172">
        <v>1379</v>
      </c>
      <c r="G172" t="s">
        <v>424</v>
      </c>
      <c r="H172" s="249">
        <v>0</v>
      </c>
    </row>
    <row r="173" spans="3:8" hidden="1" outlineLevel="1">
      <c r="F173">
        <v>1377</v>
      </c>
      <c r="G173" t="s">
        <v>435</v>
      </c>
      <c r="H173" s="249">
        <v>11468</v>
      </c>
    </row>
    <row r="174" spans="3:8" hidden="1" outlineLevel="1">
      <c r="F174">
        <v>1370</v>
      </c>
      <c r="G174" t="s">
        <v>425</v>
      </c>
      <c r="H174" s="249">
        <v>52806</v>
      </c>
    </row>
    <row r="175" spans="3:8" hidden="1" outlineLevel="1">
      <c r="F175">
        <v>1360</v>
      </c>
      <c r="G175" t="s">
        <v>426</v>
      </c>
      <c r="H175" s="249">
        <v>88661</v>
      </c>
    </row>
    <row r="176" spans="3:8" hidden="1" outlineLevel="1">
      <c r="F176">
        <v>1355</v>
      </c>
      <c r="G176" t="s">
        <v>436</v>
      </c>
      <c r="H176" s="249">
        <v>1860</v>
      </c>
    </row>
    <row r="177" spans="1:8" hidden="1" outlineLevel="1">
      <c r="F177">
        <v>1355</v>
      </c>
      <c r="G177" t="s">
        <v>436</v>
      </c>
      <c r="H177" s="249">
        <v>4836</v>
      </c>
    </row>
    <row r="178" spans="1:8" hidden="1" outlineLevel="1">
      <c r="F178">
        <v>1340</v>
      </c>
      <c r="G178" t="s">
        <v>427</v>
      </c>
      <c r="H178" s="249">
        <v>19173</v>
      </c>
    </row>
    <row r="179" spans="1:8" hidden="1" outlineLevel="1">
      <c r="F179">
        <v>1340</v>
      </c>
      <c r="G179" t="s">
        <v>427</v>
      </c>
      <c r="H179" s="249">
        <v>37792</v>
      </c>
    </row>
    <row r="180" spans="1:8" hidden="1" outlineLevel="1">
      <c r="C180" t="s">
        <v>275</v>
      </c>
      <c r="F180">
        <v>1340</v>
      </c>
      <c r="G180" t="s">
        <v>427</v>
      </c>
      <c r="H180" s="249">
        <v>3884</v>
      </c>
    </row>
    <row r="181" spans="1:8" hidden="1" outlineLevel="1">
      <c r="F181">
        <v>1320</v>
      </c>
      <c r="G181" t="s">
        <v>428</v>
      </c>
      <c r="H181" s="249">
        <v>66119</v>
      </c>
    </row>
    <row r="182" spans="1:8" hidden="1" outlineLevel="1">
      <c r="F182">
        <v>1315</v>
      </c>
      <c r="G182" t="s">
        <v>437</v>
      </c>
      <c r="H182" s="249">
        <v>3222</v>
      </c>
    </row>
    <row r="183" spans="1:8" hidden="1" outlineLevel="1">
      <c r="F183">
        <v>1315</v>
      </c>
      <c r="G183" t="s">
        <v>437</v>
      </c>
      <c r="H183" s="249">
        <v>8400</v>
      </c>
    </row>
    <row r="184" spans="1:8" hidden="1" outlineLevel="1">
      <c r="F184">
        <v>1220</v>
      </c>
      <c r="G184" t="s">
        <v>429</v>
      </c>
      <c r="H184" s="249">
        <v>61548</v>
      </c>
    </row>
    <row r="185" spans="1:8" hidden="1" outlineLevel="1">
      <c r="C185" t="s">
        <v>275</v>
      </c>
      <c r="F185">
        <v>1220</v>
      </c>
      <c r="G185" t="s">
        <v>429</v>
      </c>
      <c r="H185" s="249">
        <v>3831</v>
      </c>
    </row>
    <row r="186" spans="1:8" hidden="1" outlineLevel="1">
      <c r="F186">
        <v>1210</v>
      </c>
      <c r="G186" t="s">
        <v>430</v>
      </c>
      <c r="H186" s="249">
        <v>20054</v>
      </c>
    </row>
    <row r="187" spans="1:8" hidden="1" outlineLevel="1">
      <c r="F187">
        <v>1150</v>
      </c>
      <c r="G187" t="s">
        <v>447</v>
      </c>
      <c r="H187" s="249">
        <v>0</v>
      </c>
    </row>
    <row r="188" spans="1:8" hidden="1" outlineLevel="1">
      <c r="F188">
        <v>1125</v>
      </c>
      <c r="G188" t="s">
        <v>431</v>
      </c>
      <c r="H188" s="249">
        <v>15122</v>
      </c>
    </row>
    <row r="189" spans="1:8" hidden="1" outlineLevel="1">
      <c r="F189">
        <v>1110</v>
      </c>
      <c r="G189" t="s">
        <v>416</v>
      </c>
      <c r="H189" s="249">
        <v>3720</v>
      </c>
    </row>
    <row r="190" spans="1:8" hidden="1" outlineLevel="1">
      <c r="F190">
        <v>1110</v>
      </c>
      <c r="G190" t="s">
        <v>416</v>
      </c>
      <c r="H190" s="249">
        <v>19059</v>
      </c>
    </row>
    <row r="191" spans="1:8" ht="16" collapsed="1" thickBot="1">
      <c r="A191" s="919">
        <v>3</v>
      </c>
      <c r="B191" s="1089">
        <v>3400</v>
      </c>
      <c r="C191" s="1089" t="s">
        <v>453</v>
      </c>
      <c r="D191" s="919"/>
      <c r="E191" s="919"/>
      <c r="F191" s="919"/>
      <c r="G191" s="919"/>
      <c r="H191" s="1090">
        <f>SUM(H160:H190)</f>
        <v>873246</v>
      </c>
    </row>
    <row r="192" spans="1:8" hidden="1" outlineLevel="1">
      <c r="F192">
        <v>1900</v>
      </c>
      <c r="G192" t="s">
        <v>419</v>
      </c>
      <c r="H192" s="249">
        <v>601</v>
      </c>
    </row>
    <row r="193" spans="3:8" hidden="1" outlineLevel="1">
      <c r="F193">
        <v>1800</v>
      </c>
      <c r="G193" t="s">
        <v>420</v>
      </c>
      <c r="H193" s="249">
        <v>491</v>
      </c>
    </row>
    <row r="194" spans="3:8" hidden="1" outlineLevel="1">
      <c r="C194" t="s">
        <v>275</v>
      </c>
      <c r="F194">
        <v>1800</v>
      </c>
      <c r="G194" t="s">
        <v>420</v>
      </c>
      <c r="H194" s="249">
        <v>71</v>
      </c>
    </row>
    <row r="195" spans="3:8" hidden="1" outlineLevel="1">
      <c r="F195">
        <v>1700</v>
      </c>
      <c r="G195" t="s">
        <v>421</v>
      </c>
      <c r="H195" s="249">
        <v>92</v>
      </c>
    </row>
    <row r="196" spans="3:8" hidden="1" outlineLevel="1">
      <c r="F196">
        <v>1505</v>
      </c>
      <c r="G196" t="s">
        <v>414</v>
      </c>
      <c r="H196" s="249">
        <v>344</v>
      </c>
    </row>
    <row r="197" spans="3:8" hidden="1" outlineLevel="1">
      <c r="F197">
        <v>1505</v>
      </c>
      <c r="G197" t="s">
        <v>414</v>
      </c>
      <c r="H197" s="249">
        <v>45</v>
      </c>
    </row>
    <row r="198" spans="3:8" hidden="1" outlineLevel="1">
      <c r="F198">
        <v>1420</v>
      </c>
      <c r="G198" t="s">
        <v>422</v>
      </c>
      <c r="H198" s="249">
        <v>89</v>
      </c>
    </row>
    <row r="199" spans="3:8" hidden="1" outlineLevel="1">
      <c r="F199">
        <v>1410</v>
      </c>
      <c r="G199" t="s">
        <v>78</v>
      </c>
      <c r="H199" s="249">
        <v>79</v>
      </c>
    </row>
    <row r="200" spans="3:8" hidden="1" outlineLevel="1">
      <c r="F200">
        <v>1405</v>
      </c>
      <c r="G200" t="s">
        <v>415</v>
      </c>
      <c r="H200" s="249">
        <v>0</v>
      </c>
    </row>
    <row r="201" spans="3:8" hidden="1" outlineLevel="1">
      <c r="F201">
        <v>1405</v>
      </c>
      <c r="G201" t="s">
        <v>415</v>
      </c>
      <c r="H201" s="249">
        <v>645</v>
      </c>
    </row>
    <row r="202" spans="3:8" hidden="1" outlineLevel="1">
      <c r="F202">
        <v>1405</v>
      </c>
      <c r="G202" t="s">
        <v>415</v>
      </c>
      <c r="H202" s="249">
        <v>179</v>
      </c>
    </row>
    <row r="203" spans="3:8" hidden="1" outlineLevel="1">
      <c r="F203">
        <v>1387</v>
      </c>
      <c r="G203" t="s">
        <v>423</v>
      </c>
      <c r="H203" s="249">
        <v>269</v>
      </c>
    </row>
    <row r="204" spans="3:8" hidden="1" outlineLevel="1">
      <c r="F204">
        <v>1380</v>
      </c>
      <c r="G204" t="s">
        <v>434</v>
      </c>
      <c r="H204" s="249">
        <v>67</v>
      </c>
    </row>
    <row r="205" spans="3:8" hidden="1" outlineLevel="1">
      <c r="F205">
        <v>1379</v>
      </c>
      <c r="G205" t="s">
        <v>424</v>
      </c>
      <c r="H205" s="249">
        <v>0</v>
      </c>
    </row>
    <row r="206" spans="3:8" hidden="1" outlineLevel="1">
      <c r="F206">
        <v>1377</v>
      </c>
      <c r="G206" t="s">
        <v>435</v>
      </c>
      <c r="H206" s="249">
        <v>85</v>
      </c>
    </row>
    <row r="207" spans="3:8" hidden="1" outlineLevel="1">
      <c r="F207">
        <v>1370</v>
      </c>
      <c r="G207" t="s">
        <v>425</v>
      </c>
      <c r="H207" s="249">
        <v>247</v>
      </c>
    </row>
    <row r="208" spans="3:8" hidden="1" outlineLevel="1">
      <c r="F208">
        <v>1360</v>
      </c>
      <c r="G208" t="s">
        <v>426</v>
      </c>
      <c r="H208" s="249">
        <v>0</v>
      </c>
    </row>
    <row r="209" spans="3:8" hidden="1" outlineLevel="1">
      <c r="F209">
        <v>1360</v>
      </c>
      <c r="G209" t="s">
        <v>426</v>
      </c>
      <c r="H209" s="249">
        <v>462</v>
      </c>
    </row>
    <row r="210" spans="3:8" hidden="1" outlineLevel="1">
      <c r="F210">
        <v>1355</v>
      </c>
      <c r="G210" t="s">
        <v>436</v>
      </c>
      <c r="H210" s="249">
        <v>20</v>
      </c>
    </row>
    <row r="211" spans="3:8" hidden="1" outlineLevel="1">
      <c r="F211">
        <v>1355</v>
      </c>
      <c r="G211" t="s">
        <v>436</v>
      </c>
      <c r="H211" s="249">
        <v>51</v>
      </c>
    </row>
    <row r="212" spans="3:8" hidden="1" outlineLevel="1">
      <c r="F212">
        <v>1340</v>
      </c>
      <c r="G212" t="s">
        <v>427</v>
      </c>
      <c r="H212" s="249">
        <v>144</v>
      </c>
    </row>
    <row r="213" spans="3:8" hidden="1" outlineLevel="1">
      <c r="F213">
        <v>1340</v>
      </c>
      <c r="G213" t="s">
        <v>427</v>
      </c>
      <c r="H213" s="249">
        <v>153</v>
      </c>
    </row>
    <row r="214" spans="3:8" hidden="1" outlineLevel="1">
      <c r="C214" t="s">
        <v>275</v>
      </c>
      <c r="F214">
        <v>1340</v>
      </c>
      <c r="G214" t="s">
        <v>427</v>
      </c>
      <c r="H214" s="249">
        <v>22</v>
      </c>
    </row>
    <row r="215" spans="3:8" hidden="1" outlineLevel="1">
      <c r="F215">
        <v>1320</v>
      </c>
      <c r="G215" t="s">
        <v>428</v>
      </c>
      <c r="H215" s="249">
        <v>301</v>
      </c>
    </row>
    <row r="216" spans="3:8" hidden="1" outlineLevel="1">
      <c r="F216">
        <v>1315</v>
      </c>
      <c r="G216" t="s">
        <v>437</v>
      </c>
      <c r="H216" s="249">
        <v>53</v>
      </c>
    </row>
    <row r="217" spans="3:8" hidden="1" outlineLevel="1">
      <c r="F217">
        <v>1315</v>
      </c>
      <c r="G217" t="s">
        <v>437</v>
      </c>
      <c r="H217" s="249">
        <v>77</v>
      </c>
    </row>
    <row r="218" spans="3:8" hidden="1" outlineLevel="1">
      <c r="F218">
        <v>1220</v>
      </c>
      <c r="G218" t="s">
        <v>429</v>
      </c>
      <c r="H218" s="249">
        <v>281</v>
      </c>
    </row>
    <row r="219" spans="3:8" hidden="1" outlineLevel="1">
      <c r="C219" t="s">
        <v>275</v>
      </c>
      <c r="F219">
        <v>1220</v>
      </c>
      <c r="G219" t="s">
        <v>429</v>
      </c>
      <c r="H219" s="249">
        <v>18</v>
      </c>
    </row>
    <row r="220" spans="3:8" hidden="1" outlineLevel="1">
      <c r="F220">
        <v>1210</v>
      </c>
      <c r="G220" t="s">
        <v>430</v>
      </c>
      <c r="H220" s="249">
        <v>116</v>
      </c>
    </row>
    <row r="221" spans="3:8" hidden="1" outlineLevel="1">
      <c r="F221">
        <v>1150</v>
      </c>
      <c r="G221" t="s">
        <v>447</v>
      </c>
      <c r="H221" s="249">
        <v>0</v>
      </c>
    </row>
    <row r="222" spans="3:8" hidden="1" outlineLevel="1">
      <c r="F222">
        <v>1125</v>
      </c>
      <c r="G222" t="s">
        <v>431</v>
      </c>
      <c r="H222" s="249">
        <v>0</v>
      </c>
    </row>
    <row r="223" spans="3:8" hidden="1" outlineLevel="1">
      <c r="F223">
        <v>1125</v>
      </c>
      <c r="G223" t="s">
        <v>431</v>
      </c>
      <c r="H223" s="249">
        <v>113</v>
      </c>
    </row>
    <row r="224" spans="3:8" hidden="1" outlineLevel="1">
      <c r="F224">
        <v>1110</v>
      </c>
      <c r="G224" t="s">
        <v>416</v>
      </c>
      <c r="H224" s="249">
        <v>84</v>
      </c>
    </row>
    <row r="225" spans="1:8" hidden="1" outlineLevel="1">
      <c r="F225">
        <v>1110</v>
      </c>
      <c r="G225" t="s">
        <v>416</v>
      </c>
      <c r="H225" s="249">
        <v>189</v>
      </c>
    </row>
    <row r="226" spans="1:8" ht="16" collapsed="1" thickBot="1">
      <c r="A226" s="919">
        <v>3</v>
      </c>
      <c r="B226" s="1089">
        <v>3500</v>
      </c>
      <c r="C226" s="1089" t="s">
        <v>454</v>
      </c>
      <c r="D226" s="919"/>
      <c r="E226" s="919"/>
      <c r="F226" s="919"/>
      <c r="G226" s="919"/>
      <c r="H226" s="1090">
        <f>SUM(H192:H225)</f>
        <v>5388</v>
      </c>
    </row>
    <row r="227" spans="1:8" hidden="1" outlineLevel="2">
      <c r="F227">
        <v>1900</v>
      </c>
      <c r="G227" t="s">
        <v>419</v>
      </c>
      <c r="H227" s="249">
        <v>6006</v>
      </c>
    </row>
    <row r="228" spans="1:8" hidden="1" outlineLevel="2">
      <c r="F228">
        <v>1800</v>
      </c>
      <c r="G228" t="s">
        <v>420</v>
      </c>
      <c r="H228" s="249">
        <v>4912</v>
      </c>
    </row>
    <row r="229" spans="1:8" hidden="1" outlineLevel="2">
      <c r="C229" t="s">
        <v>275</v>
      </c>
      <c r="F229">
        <v>1800</v>
      </c>
      <c r="G229" t="s">
        <v>420</v>
      </c>
      <c r="H229" s="249">
        <v>714</v>
      </c>
    </row>
    <row r="230" spans="1:8" hidden="1" outlineLevel="2">
      <c r="F230">
        <v>1700</v>
      </c>
      <c r="G230" t="s">
        <v>421</v>
      </c>
      <c r="H230" s="249">
        <v>917</v>
      </c>
    </row>
    <row r="231" spans="1:8" hidden="1" outlineLevel="2">
      <c r="F231">
        <v>1505</v>
      </c>
      <c r="G231" t="s">
        <v>414</v>
      </c>
      <c r="H231" s="249">
        <v>3441</v>
      </c>
    </row>
    <row r="232" spans="1:8" hidden="1" outlineLevel="2">
      <c r="F232">
        <v>1505</v>
      </c>
      <c r="G232" t="s">
        <v>414</v>
      </c>
      <c r="H232" s="249">
        <v>446</v>
      </c>
    </row>
    <row r="233" spans="1:8" hidden="1" outlineLevel="2">
      <c r="F233">
        <v>1420</v>
      </c>
      <c r="G233" t="s">
        <v>422</v>
      </c>
      <c r="H233" s="249">
        <v>886</v>
      </c>
    </row>
    <row r="234" spans="1:8" hidden="1" outlineLevel="2">
      <c r="F234">
        <v>1410</v>
      </c>
      <c r="G234" t="s">
        <v>78</v>
      </c>
      <c r="H234" s="249">
        <v>789</v>
      </c>
    </row>
    <row r="235" spans="1:8" hidden="1" outlineLevel="2">
      <c r="F235">
        <v>1405</v>
      </c>
      <c r="G235" t="s">
        <v>415</v>
      </c>
      <c r="H235" s="249">
        <v>0</v>
      </c>
    </row>
    <row r="236" spans="1:8" hidden="1" outlineLevel="2">
      <c r="F236">
        <v>1405</v>
      </c>
      <c r="G236" t="s">
        <v>415</v>
      </c>
      <c r="H236" s="249">
        <v>6453</v>
      </c>
    </row>
    <row r="237" spans="1:8" hidden="1" outlineLevel="2">
      <c r="F237">
        <v>1405</v>
      </c>
      <c r="G237" t="s">
        <v>415</v>
      </c>
      <c r="H237" s="249">
        <v>1785</v>
      </c>
    </row>
    <row r="238" spans="1:8" hidden="1" outlineLevel="2">
      <c r="F238">
        <v>1387</v>
      </c>
      <c r="G238" t="s">
        <v>423</v>
      </c>
      <c r="H238" s="249">
        <v>2688</v>
      </c>
    </row>
    <row r="239" spans="1:8" hidden="1" outlineLevel="2">
      <c r="F239">
        <v>1380</v>
      </c>
      <c r="G239" t="s">
        <v>434</v>
      </c>
      <c r="H239" s="249">
        <v>670</v>
      </c>
    </row>
    <row r="240" spans="1:8" hidden="1" outlineLevel="2">
      <c r="F240">
        <v>1379</v>
      </c>
      <c r="G240" t="s">
        <v>424</v>
      </c>
      <c r="H240" s="249">
        <v>0</v>
      </c>
    </row>
    <row r="241" spans="3:8" hidden="1" outlineLevel="2">
      <c r="F241">
        <v>1377</v>
      </c>
      <c r="G241" t="s">
        <v>435</v>
      </c>
      <c r="H241" s="249">
        <v>852</v>
      </c>
    </row>
    <row r="242" spans="3:8" hidden="1" outlineLevel="2">
      <c r="F242">
        <v>1370</v>
      </c>
      <c r="G242" t="s">
        <v>425</v>
      </c>
      <c r="H242" s="249">
        <v>2470</v>
      </c>
    </row>
    <row r="243" spans="3:8" hidden="1" outlineLevel="2">
      <c r="F243">
        <v>1360</v>
      </c>
      <c r="G243" t="s">
        <v>426</v>
      </c>
      <c r="H243" s="249">
        <v>0</v>
      </c>
    </row>
    <row r="244" spans="3:8" hidden="1" outlineLevel="2">
      <c r="F244">
        <v>1360</v>
      </c>
      <c r="G244" t="s">
        <v>426</v>
      </c>
      <c r="H244" s="249">
        <v>4618</v>
      </c>
    </row>
    <row r="245" spans="3:8" hidden="1" outlineLevel="2">
      <c r="F245">
        <v>1355</v>
      </c>
      <c r="G245" t="s">
        <v>436</v>
      </c>
      <c r="H245" s="249">
        <v>197</v>
      </c>
    </row>
    <row r="246" spans="3:8" hidden="1" outlineLevel="2">
      <c r="F246">
        <v>1355</v>
      </c>
      <c r="G246" t="s">
        <v>436</v>
      </c>
      <c r="H246" s="249">
        <v>513</v>
      </c>
    </row>
    <row r="247" spans="3:8" hidden="1" outlineLevel="2">
      <c r="F247">
        <v>1340</v>
      </c>
      <c r="G247" t="s">
        <v>427</v>
      </c>
      <c r="H247" s="249">
        <v>1440</v>
      </c>
    </row>
    <row r="248" spans="3:8" hidden="1" outlineLevel="2">
      <c r="F248">
        <v>1340</v>
      </c>
      <c r="G248" t="s">
        <v>427</v>
      </c>
      <c r="H248" s="249">
        <v>1534</v>
      </c>
    </row>
    <row r="249" spans="3:8" hidden="1" outlineLevel="2">
      <c r="C249" t="s">
        <v>275</v>
      </c>
      <c r="F249">
        <v>1340</v>
      </c>
      <c r="G249" t="s">
        <v>427</v>
      </c>
      <c r="H249" s="249">
        <v>218</v>
      </c>
    </row>
    <row r="250" spans="3:8" hidden="1" outlineLevel="2">
      <c r="F250">
        <v>1320</v>
      </c>
      <c r="G250" t="s">
        <v>428</v>
      </c>
      <c r="H250" s="249">
        <v>3006</v>
      </c>
    </row>
    <row r="251" spans="3:8" hidden="1" outlineLevel="2">
      <c r="F251">
        <v>1315</v>
      </c>
      <c r="G251" t="s">
        <v>437</v>
      </c>
      <c r="H251" s="249">
        <v>532</v>
      </c>
    </row>
    <row r="252" spans="3:8" hidden="1" outlineLevel="2">
      <c r="F252">
        <v>1315</v>
      </c>
      <c r="G252" t="s">
        <v>437</v>
      </c>
      <c r="H252" s="249">
        <v>766</v>
      </c>
    </row>
    <row r="253" spans="3:8" hidden="1" outlineLevel="2">
      <c r="F253">
        <v>1220</v>
      </c>
      <c r="G253" t="s">
        <v>429</v>
      </c>
      <c r="H253" s="249">
        <v>2809</v>
      </c>
    </row>
    <row r="254" spans="3:8" hidden="1" outlineLevel="2">
      <c r="C254" t="s">
        <v>275</v>
      </c>
      <c r="F254">
        <v>1220</v>
      </c>
      <c r="G254" t="s">
        <v>429</v>
      </c>
      <c r="H254" s="249">
        <v>175</v>
      </c>
    </row>
    <row r="255" spans="3:8" hidden="1" outlineLevel="2">
      <c r="F255">
        <v>1210</v>
      </c>
      <c r="G255" t="s">
        <v>430</v>
      </c>
      <c r="H255" s="249">
        <v>1164</v>
      </c>
    </row>
    <row r="256" spans="3:8" hidden="1" outlineLevel="2">
      <c r="F256">
        <v>1150</v>
      </c>
      <c r="G256" t="s">
        <v>447</v>
      </c>
      <c r="H256" s="249">
        <v>0</v>
      </c>
    </row>
    <row r="257" spans="3:8" hidden="1" outlineLevel="2">
      <c r="F257">
        <v>1125</v>
      </c>
      <c r="G257" t="s">
        <v>431</v>
      </c>
      <c r="H257" s="249">
        <v>0</v>
      </c>
    </row>
    <row r="258" spans="3:8" hidden="1" outlineLevel="2">
      <c r="F258">
        <v>1125</v>
      </c>
      <c r="G258" t="s">
        <v>431</v>
      </c>
      <c r="H258" s="249">
        <v>1132</v>
      </c>
    </row>
    <row r="259" spans="3:8" hidden="1" outlineLevel="2">
      <c r="F259">
        <v>1110</v>
      </c>
      <c r="G259" t="s">
        <v>416</v>
      </c>
      <c r="H259" s="249">
        <v>842</v>
      </c>
    </row>
    <row r="260" spans="3:8" hidden="1" outlineLevel="2">
      <c r="F260">
        <v>1110</v>
      </c>
      <c r="G260" t="s">
        <v>416</v>
      </c>
      <c r="H260" s="249">
        <v>1894</v>
      </c>
    </row>
    <row r="261" spans="3:8" hidden="1" outlineLevel="1" collapsed="1">
      <c r="D261" s="1080">
        <v>36000</v>
      </c>
      <c r="E261" s="1080" t="s">
        <v>455</v>
      </c>
      <c r="F261" s="1080"/>
      <c r="G261" s="1080"/>
      <c r="H261" s="1081">
        <f>SUM(H227:H260)</f>
        <v>53869</v>
      </c>
    </row>
    <row r="262" spans="3:8" hidden="1" outlineLevel="2">
      <c r="F262">
        <v>1900</v>
      </c>
      <c r="G262" t="s">
        <v>419</v>
      </c>
      <c r="H262" s="249">
        <v>12011</v>
      </c>
    </row>
    <row r="263" spans="3:8" hidden="1" outlineLevel="2">
      <c r="F263">
        <v>1800</v>
      </c>
      <c r="G263" t="s">
        <v>420</v>
      </c>
      <c r="H263" s="249">
        <v>9823</v>
      </c>
    </row>
    <row r="264" spans="3:8" hidden="1" outlineLevel="2">
      <c r="C264" t="s">
        <v>275</v>
      </c>
      <c r="F264">
        <v>1800</v>
      </c>
      <c r="G264" t="s">
        <v>420</v>
      </c>
      <c r="H264" s="249">
        <v>1427</v>
      </c>
    </row>
    <row r="265" spans="3:8" hidden="1" outlineLevel="2">
      <c r="F265">
        <v>1700</v>
      </c>
      <c r="G265" t="s">
        <v>421</v>
      </c>
      <c r="H265" s="249">
        <v>1835</v>
      </c>
    </row>
    <row r="266" spans="3:8" hidden="1" outlineLevel="2">
      <c r="F266">
        <v>1505</v>
      </c>
      <c r="G266" t="s">
        <v>414</v>
      </c>
      <c r="H266" s="249">
        <v>6882</v>
      </c>
    </row>
    <row r="267" spans="3:8" hidden="1" outlineLevel="2">
      <c r="F267">
        <v>1505</v>
      </c>
      <c r="G267" t="s">
        <v>414</v>
      </c>
      <c r="H267" s="249">
        <v>892</v>
      </c>
    </row>
    <row r="268" spans="3:8" hidden="1" outlineLevel="2">
      <c r="F268">
        <v>1420</v>
      </c>
      <c r="G268" t="s">
        <v>422</v>
      </c>
      <c r="H268" s="249">
        <v>1772</v>
      </c>
    </row>
    <row r="269" spans="3:8" hidden="1" outlineLevel="2">
      <c r="F269">
        <v>1410</v>
      </c>
      <c r="G269" t="s">
        <v>78</v>
      </c>
      <c r="H269" s="249">
        <v>1578</v>
      </c>
    </row>
    <row r="270" spans="3:8" hidden="1" outlineLevel="2">
      <c r="F270">
        <v>1405</v>
      </c>
      <c r="G270" t="s">
        <v>415</v>
      </c>
      <c r="H270" s="249">
        <v>0</v>
      </c>
    </row>
    <row r="271" spans="3:8" hidden="1" outlineLevel="2">
      <c r="F271">
        <v>1405</v>
      </c>
      <c r="G271" t="s">
        <v>415</v>
      </c>
      <c r="H271" s="249">
        <v>12905</v>
      </c>
    </row>
    <row r="272" spans="3:8" hidden="1" outlineLevel="2">
      <c r="F272">
        <v>1405</v>
      </c>
      <c r="G272" t="s">
        <v>415</v>
      </c>
      <c r="H272" s="249">
        <v>3571</v>
      </c>
    </row>
    <row r="273" spans="3:8" hidden="1" outlineLevel="2">
      <c r="F273">
        <v>1387</v>
      </c>
      <c r="G273" t="s">
        <v>423</v>
      </c>
      <c r="H273" s="249">
        <v>5376</v>
      </c>
    </row>
    <row r="274" spans="3:8" hidden="1" outlineLevel="2">
      <c r="F274">
        <v>1380</v>
      </c>
      <c r="G274" t="s">
        <v>434</v>
      </c>
      <c r="H274" s="249">
        <v>1339</v>
      </c>
    </row>
    <row r="275" spans="3:8" hidden="1" outlineLevel="2">
      <c r="F275">
        <v>1379</v>
      </c>
      <c r="G275" t="s">
        <v>424</v>
      </c>
      <c r="H275" s="249">
        <v>0</v>
      </c>
    </row>
    <row r="276" spans="3:8" hidden="1" outlineLevel="2">
      <c r="F276">
        <v>1377</v>
      </c>
      <c r="G276" t="s">
        <v>435</v>
      </c>
      <c r="H276" s="249">
        <v>1703</v>
      </c>
    </row>
    <row r="277" spans="3:8" hidden="1" outlineLevel="2">
      <c r="F277">
        <v>1370</v>
      </c>
      <c r="G277" t="s">
        <v>425</v>
      </c>
      <c r="H277" s="249">
        <v>4940</v>
      </c>
    </row>
    <row r="278" spans="3:8" hidden="1" outlineLevel="2">
      <c r="F278">
        <v>1360</v>
      </c>
      <c r="G278" t="s">
        <v>426</v>
      </c>
      <c r="H278" s="249">
        <v>0</v>
      </c>
    </row>
    <row r="279" spans="3:8" hidden="1" outlineLevel="2">
      <c r="F279">
        <v>1360</v>
      </c>
      <c r="G279" t="s">
        <v>426</v>
      </c>
      <c r="H279" s="249">
        <v>9235</v>
      </c>
    </row>
    <row r="280" spans="3:8" hidden="1" outlineLevel="2">
      <c r="F280">
        <v>1355</v>
      </c>
      <c r="G280" t="s">
        <v>436</v>
      </c>
      <c r="H280" s="249">
        <v>395</v>
      </c>
    </row>
    <row r="281" spans="3:8" hidden="1" outlineLevel="2">
      <c r="F281">
        <v>1355</v>
      </c>
      <c r="G281" t="s">
        <v>436</v>
      </c>
      <c r="H281" s="249">
        <v>1027</v>
      </c>
    </row>
    <row r="282" spans="3:8" hidden="1" outlineLevel="2">
      <c r="F282">
        <v>1340</v>
      </c>
      <c r="G282" t="s">
        <v>427</v>
      </c>
      <c r="H282" s="249">
        <v>2880</v>
      </c>
    </row>
    <row r="283" spans="3:8" hidden="1" outlineLevel="2">
      <c r="F283">
        <v>1340</v>
      </c>
      <c r="G283" t="s">
        <v>427</v>
      </c>
      <c r="H283" s="249">
        <v>3068</v>
      </c>
    </row>
    <row r="284" spans="3:8" hidden="1" outlineLevel="2">
      <c r="C284" t="s">
        <v>275</v>
      </c>
      <c r="F284">
        <v>1340</v>
      </c>
      <c r="G284" t="s">
        <v>427</v>
      </c>
      <c r="H284" s="249">
        <v>435</v>
      </c>
    </row>
    <row r="285" spans="3:8" hidden="1" outlineLevel="2">
      <c r="F285">
        <v>1320</v>
      </c>
      <c r="G285" t="s">
        <v>428</v>
      </c>
      <c r="H285" s="249">
        <v>6012</v>
      </c>
    </row>
    <row r="286" spans="3:8" hidden="1" outlineLevel="2">
      <c r="F286">
        <v>1315</v>
      </c>
      <c r="G286" t="s">
        <v>437</v>
      </c>
      <c r="H286" s="249">
        <v>1063</v>
      </c>
    </row>
    <row r="287" spans="3:8" hidden="1" outlineLevel="2">
      <c r="F287">
        <v>1315</v>
      </c>
      <c r="G287" t="s">
        <v>437</v>
      </c>
      <c r="H287" s="249">
        <v>1532</v>
      </c>
    </row>
    <row r="288" spans="3:8" hidden="1" outlineLevel="2">
      <c r="F288">
        <v>1220</v>
      </c>
      <c r="G288" t="s">
        <v>429</v>
      </c>
      <c r="H288" s="249">
        <v>5618</v>
      </c>
    </row>
    <row r="289" spans="1:8" hidden="1" outlineLevel="2">
      <c r="C289" t="s">
        <v>275</v>
      </c>
      <c r="F289">
        <v>1220</v>
      </c>
      <c r="G289" t="s">
        <v>429</v>
      </c>
      <c r="H289" s="249">
        <v>350</v>
      </c>
    </row>
    <row r="290" spans="1:8" hidden="1" outlineLevel="2">
      <c r="F290">
        <v>1210</v>
      </c>
      <c r="G290" t="s">
        <v>430</v>
      </c>
      <c r="H290" s="249">
        <v>2327</v>
      </c>
    </row>
    <row r="291" spans="1:8" hidden="1" outlineLevel="2">
      <c r="F291">
        <v>1150</v>
      </c>
      <c r="G291" t="s">
        <v>447</v>
      </c>
      <c r="H291" s="249">
        <v>0</v>
      </c>
    </row>
    <row r="292" spans="1:8" hidden="1" outlineLevel="2">
      <c r="F292">
        <v>1125</v>
      </c>
      <c r="G292" t="s">
        <v>431</v>
      </c>
      <c r="H292" s="249">
        <v>0</v>
      </c>
    </row>
    <row r="293" spans="1:8" hidden="1" outlineLevel="2">
      <c r="F293">
        <v>1125</v>
      </c>
      <c r="G293" t="s">
        <v>431</v>
      </c>
      <c r="H293" s="249">
        <v>2264</v>
      </c>
    </row>
    <row r="294" spans="1:8" hidden="1" outlineLevel="2">
      <c r="F294">
        <v>1110</v>
      </c>
      <c r="G294" t="s">
        <v>416</v>
      </c>
      <c r="H294" s="249">
        <v>1684</v>
      </c>
    </row>
    <row r="295" spans="1:8" hidden="1" outlineLevel="2">
      <c r="F295">
        <v>1110</v>
      </c>
      <c r="G295" t="s">
        <v>416</v>
      </c>
      <c r="H295" s="249">
        <v>3789</v>
      </c>
    </row>
    <row r="296" spans="1:8" hidden="1" outlineLevel="1" collapsed="1">
      <c r="D296" s="1080">
        <v>36500</v>
      </c>
      <c r="E296" s="1080" t="s">
        <v>456</v>
      </c>
      <c r="F296" s="1080"/>
      <c r="G296" s="1080"/>
      <c r="H296" s="1081">
        <f>SUM(H262:H295)</f>
        <v>107733</v>
      </c>
    </row>
    <row r="297" spans="1:8" collapsed="1">
      <c r="A297">
        <v>3</v>
      </c>
      <c r="B297" s="1">
        <v>3600</v>
      </c>
      <c r="C297" s="1" t="s">
        <v>457</v>
      </c>
      <c r="H297" s="251">
        <f>SUM(H261+H296)</f>
        <v>161602</v>
      </c>
    </row>
    <row r="298" spans="1:8">
      <c r="A298" s="1082">
        <v>3</v>
      </c>
      <c r="B298" s="1082"/>
      <c r="C298" s="1082"/>
      <c r="D298" s="1082"/>
      <c r="E298" s="1083"/>
      <c r="F298" s="1083"/>
      <c r="G298" s="1083" t="s">
        <v>78</v>
      </c>
      <c r="H298" s="1084">
        <f>H92+H93+H124+H159+H191+H226+H297</f>
        <v>3812858</v>
      </c>
    </row>
    <row r="299" spans="1:8" hidden="1" outlineLevel="2">
      <c r="F299">
        <v>1700</v>
      </c>
      <c r="G299" t="s">
        <v>421</v>
      </c>
      <c r="H299" s="249">
        <v>0</v>
      </c>
    </row>
    <row r="300" spans="1:8" hidden="1" outlineLevel="2">
      <c r="F300">
        <v>1505</v>
      </c>
      <c r="G300" t="s">
        <v>414</v>
      </c>
      <c r="H300" s="249">
        <v>150</v>
      </c>
    </row>
    <row r="301" spans="1:8" hidden="1" outlineLevel="2">
      <c r="F301">
        <v>1355</v>
      </c>
      <c r="G301" t="s">
        <v>436</v>
      </c>
      <c r="H301" s="249">
        <v>1000</v>
      </c>
    </row>
    <row r="302" spans="1:8" hidden="1" outlineLevel="2">
      <c r="F302">
        <v>1210</v>
      </c>
      <c r="G302" t="s">
        <v>430</v>
      </c>
      <c r="H302" s="249">
        <v>0</v>
      </c>
    </row>
    <row r="303" spans="1:8" hidden="1" outlineLevel="2">
      <c r="F303">
        <v>1125</v>
      </c>
      <c r="G303" t="s">
        <v>431</v>
      </c>
      <c r="H303" s="249">
        <v>500</v>
      </c>
    </row>
    <row r="304" spans="1:8" hidden="1" outlineLevel="1" collapsed="1">
      <c r="D304" s="1080">
        <v>41000</v>
      </c>
      <c r="E304" s="1080" t="s">
        <v>458</v>
      </c>
      <c r="F304" s="1080"/>
      <c r="G304" s="1080"/>
      <c r="H304" s="1081">
        <f>SUM(H299:H303)</f>
        <v>1650</v>
      </c>
    </row>
    <row r="305" spans="4:8" hidden="1" outlineLevel="2">
      <c r="F305">
        <v>1700</v>
      </c>
      <c r="G305" t="s">
        <v>421</v>
      </c>
      <c r="H305" s="249">
        <v>0</v>
      </c>
    </row>
    <row r="306" spans="4:8" hidden="1" outlineLevel="2">
      <c r="F306">
        <v>1405</v>
      </c>
      <c r="G306" t="s">
        <v>415</v>
      </c>
      <c r="H306" s="249">
        <v>3400</v>
      </c>
    </row>
    <row r="307" spans="4:8" hidden="1" outlineLevel="2">
      <c r="F307">
        <v>1355</v>
      </c>
      <c r="G307" t="s">
        <v>436</v>
      </c>
      <c r="H307" s="249">
        <v>500</v>
      </c>
    </row>
    <row r="308" spans="4:8" hidden="1" outlineLevel="2">
      <c r="F308">
        <v>1210</v>
      </c>
      <c r="G308" t="s">
        <v>430</v>
      </c>
      <c r="H308" s="249">
        <v>4968</v>
      </c>
    </row>
    <row r="309" spans="4:8" hidden="1" outlineLevel="2">
      <c r="F309">
        <v>1125</v>
      </c>
      <c r="G309" t="s">
        <v>431</v>
      </c>
      <c r="H309" s="249">
        <v>0</v>
      </c>
    </row>
    <row r="310" spans="4:8" hidden="1" outlineLevel="2">
      <c r="F310">
        <v>1110</v>
      </c>
      <c r="G310" t="s">
        <v>416</v>
      </c>
      <c r="H310" s="249">
        <v>1800</v>
      </c>
    </row>
    <row r="311" spans="4:8" hidden="1" outlineLevel="1" collapsed="1">
      <c r="D311" s="1080">
        <v>42000</v>
      </c>
      <c r="E311" s="1080" t="s">
        <v>459</v>
      </c>
      <c r="F311" s="1080"/>
      <c r="G311" s="1080"/>
      <c r="H311" s="1081">
        <f>SUM(H305:H310)</f>
        <v>10668</v>
      </c>
    </row>
    <row r="312" spans="4:8" hidden="1" outlineLevel="2">
      <c r="F312">
        <v>1700</v>
      </c>
      <c r="G312" t="s">
        <v>421</v>
      </c>
      <c r="H312" s="249">
        <v>0</v>
      </c>
    </row>
    <row r="313" spans="4:8" hidden="1" outlineLevel="2">
      <c r="F313">
        <v>1505</v>
      </c>
      <c r="G313" t="s">
        <v>414</v>
      </c>
      <c r="H313" s="249">
        <v>8947</v>
      </c>
    </row>
    <row r="314" spans="4:8" hidden="1" outlineLevel="2">
      <c r="F314">
        <v>1420</v>
      </c>
      <c r="G314" t="s">
        <v>422</v>
      </c>
      <c r="H314" s="249">
        <v>0</v>
      </c>
    </row>
    <row r="315" spans="4:8" hidden="1" outlineLevel="2">
      <c r="F315">
        <v>1420</v>
      </c>
      <c r="G315" t="s">
        <v>422</v>
      </c>
      <c r="H315" s="249">
        <v>0</v>
      </c>
    </row>
    <row r="316" spans="4:8" hidden="1" outlineLevel="2">
      <c r="F316">
        <v>1415</v>
      </c>
      <c r="G316" t="s">
        <v>460</v>
      </c>
      <c r="H316" s="249">
        <v>5000</v>
      </c>
    </row>
    <row r="317" spans="4:8" hidden="1" outlineLevel="2">
      <c r="F317">
        <v>1405</v>
      </c>
      <c r="G317" t="s">
        <v>415</v>
      </c>
      <c r="H317" s="249">
        <v>10816</v>
      </c>
    </row>
    <row r="318" spans="4:8" hidden="1" outlineLevel="2">
      <c r="F318">
        <v>1387</v>
      </c>
      <c r="G318" t="s">
        <v>423</v>
      </c>
      <c r="H318" s="249">
        <v>4483</v>
      </c>
    </row>
    <row r="319" spans="4:8" hidden="1" outlineLevel="2">
      <c r="F319">
        <v>1379</v>
      </c>
      <c r="G319" t="s">
        <v>424</v>
      </c>
      <c r="H319" s="249">
        <v>1124</v>
      </c>
    </row>
    <row r="320" spans="4:8" hidden="1" outlineLevel="2">
      <c r="F320">
        <v>1377</v>
      </c>
      <c r="G320" t="s">
        <v>435</v>
      </c>
      <c r="H320" s="249">
        <v>500</v>
      </c>
    </row>
    <row r="321" spans="3:8" hidden="1" outlineLevel="2">
      <c r="F321">
        <v>1377</v>
      </c>
      <c r="G321" t="s">
        <v>435</v>
      </c>
      <c r="H321" s="249">
        <v>3955</v>
      </c>
    </row>
    <row r="322" spans="3:8" hidden="1" outlineLevel="2">
      <c r="F322">
        <v>1370</v>
      </c>
      <c r="G322" t="s">
        <v>425</v>
      </c>
      <c r="H322" s="249">
        <v>4324</v>
      </c>
    </row>
    <row r="323" spans="3:8" hidden="1" outlineLevel="2">
      <c r="F323">
        <v>1360</v>
      </c>
      <c r="G323" t="s">
        <v>426</v>
      </c>
      <c r="H323" s="249">
        <v>5001</v>
      </c>
    </row>
    <row r="324" spans="3:8" hidden="1" outlineLevel="2">
      <c r="F324">
        <v>1355</v>
      </c>
      <c r="G324" t="s">
        <v>436</v>
      </c>
      <c r="H324" s="249">
        <v>1000</v>
      </c>
    </row>
    <row r="325" spans="3:8" hidden="1" outlineLevel="2">
      <c r="F325">
        <v>1340</v>
      </c>
      <c r="G325" t="s">
        <v>427</v>
      </c>
      <c r="H325" s="249">
        <v>14746</v>
      </c>
    </row>
    <row r="326" spans="3:8" hidden="1" outlineLevel="2">
      <c r="F326">
        <v>1325</v>
      </c>
      <c r="G326" t="s">
        <v>461</v>
      </c>
      <c r="H326" s="249">
        <v>1312</v>
      </c>
    </row>
    <row r="327" spans="3:8" hidden="1" outlineLevel="2">
      <c r="F327">
        <v>1320</v>
      </c>
      <c r="G327" t="s">
        <v>428</v>
      </c>
      <c r="H327" s="249">
        <v>52490</v>
      </c>
    </row>
    <row r="328" spans="3:8" hidden="1" outlineLevel="2">
      <c r="F328">
        <v>1319</v>
      </c>
      <c r="G328" t="s">
        <v>462</v>
      </c>
      <c r="H328" s="249">
        <v>20527</v>
      </c>
    </row>
    <row r="329" spans="3:8" hidden="1" outlineLevel="2">
      <c r="F329">
        <v>1315</v>
      </c>
      <c r="G329" t="s">
        <v>437</v>
      </c>
      <c r="H329" s="249">
        <v>3000</v>
      </c>
    </row>
    <row r="330" spans="3:8" hidden="1" outlineLevel="2">
      <c r="C330" t="s">
        <v>275</v>
      </c>
      <c r="F330">
        <v>1220</v>
      </c>
      <c r="G330" t="s">
        <v>429</v>
      </c>
      <c r="H330" s="249">
        <v>133679</v>
      </c>
    </row>
    <row r="331" spans="3:8" hidden="1" outlineLevel="2">
      <c r="F331">
        <v>1210</v>
      </c>
      <c r="G331" t="s">
        <v>430</v>
      </c>
      <c r="H331" s="249">
        <v>21728</v>
      </c>
    </row>
    <row r="332" spans="3:8" hidden="1" outlineLevel="2">
      <c r="F332">
        <v>1125</v>
      </c>
      <c r="G332" t="s">
        <v>431</v>
      </c>
      <c r="H332" s="249">
        <v>2952</v>
      </c>
    </row>
    <row r="333" spans="3:8" hidden="1" outlineLevel="2">
      <c r="F333">
        <v>1110</v>
      </c>
      <c r="G333" t="s">
        <v>416</v>
      </c>
      <c r="H333" s="249">
        <v>5612</v>
      </c>
    </row>
    <row r="334" spans="3:8" hidden="1" outlineLevel="1" collapsed="1">
      <c r="D334" s="1080">
        <v>44110</v>
      </c>
      <c r="E334" s="1080" t="s">
        <v>463</v>
      </c>
      <c r="F334" s="1080"/>
      <c r="G334" s="1080"/>
      <c r="H334" s="1081">
        <f>SUM(H312:H333)</f>
        <v>301196</v>
      </c>
    </row>
    <row r="335" spans="3:8" hidden="1" outlineLevel="1">
      <c r="C335" t="s">
        <v>275</v>
      </c>
      <c r="D335" s="1085">
        <v>44120</v>
      </c>
      <c r="E335" s="1085" t="s">
        <v>464</v>
      </c>
      <c r="F335" s="1085">
        <v>1220</v>
      </c>
      <c r="G335" s="1085" t="s">
        <v>429</v>
      </c>
      <c r="H335" s="1086">
        <v>0</v>
      </c>
    </row>
    <row r="336" spans="3:8" hidden="1" outlineLevel="2">
      <c r="C336" t="s">
        <v>275</v>
      </c>
      <c r="F336">
        <v>1220</v>
      </c>
      <c r="G336" t="s">
        <v>429</v>
      </c>
      <c r="H336" s="249">
        <v>2800</v>
      </c>
    </row>
    <row r="337" spans="1:8" hidden="1" outlineLevel="2">
      <c r="F337">
        <v>1325</v>
      </c>
      <c r="G337" t="s">
        <v>461</v>
      </c>
      <c r="H337" s="249">
        <v>500</v>
      </c>
    </row>
    <row r="338" spans="1:8" hidden="1" outlineLevel="1">
      <c r="D338" s="1080">
        <v>44300</v>
      </c>
      <c r="E338" s="1080" t="s">
        <v>465</v>
      </c>
      <c r="F338" s="1080"/>
      <c r="G338" s="1080"/>
      <c r="H338" s="1081">
        <f>SUM(H336:H337)</f>
        <v>3300</v>
      </c>
    </row>
    <row r="339" spans="1:8" hidden="1" outlineLevel="2">
      <c r="F339">
        <v>1505</v>
      </c>
      <c r="G339" t="s">
        <v>414</v>
      </c>
      <c r="H339" s="249">
        <v>0</v>
      </c>
    </row>
    <row r="340" spans="1:8" hidden="1" outlineLevel="2">
      <c r="F340">
        <v>1405</v>
      </c>
      <c r="G340" t="s">
        <v>415</v>
      </c>
      <c r="H340" s="249">
        <v>0</v>
      </c>
    </row>
    <row r="341" spans="1:8" hidden="1" outlineLevel="2">
      <c r="F341">
        <v>1210</v>
      </c>
      <c r="G341" t="s">
        <v>430</v>
      </c>
      <c r="H341" s="249">
        <v>2500</v>
      </c>
    </row>
    <row r="342" spans="1:8" hidden="1" outlineLevel="2">
      <c r="F342">
        <v>1110</v>
      </c>
      <c r="G342" t="s">
        <v>416</v>
      </c>
      <c r="H342" s="249">
        <v>1500</v>
      </c>
    </row>
    <row r="343" spans="1:8" hidden="1" outlineLevel="1">
      <c r="D343" s="1080">
        <v>44400</v>
      </c>
      <c r="E343" s="1080" t="s">
        <v>466</v>
      </c>
      <c r="F343" s="1080"/>
      <c r="G343" s="1080"/>
      <c r="H343" s="1081">
        <f>SUM(H339:H342)</f>
        <v>4000</v>
      </c>
    </row>
    <row r="344" spans="1:8" hidden="1" outlineLevel="2">
      <c r="F344">
        <v>1700</v>
      </c>
      <c r="G344" t="s">
        <v>421</v>
      </c>
      <c r="H344" s="249">
        <v>0</v>
      </c>
    </row>
    <row r="345" spans="1:8" hidden="1" outlineLevel="2">
      <c r="F345">
        <v>1405</v>
      </c>
      <c r="G345" t="s">
        <v>415</v>
      </c>
      <c r="H345" s="249">
        <v>600</v>
      </c>
    </row>
    <row r="346" spans="1:8" hidden="1" outlineLevel="2">
      <c r="F346">
        <v>1379</v>
      </c>
      <c r="G346" t="s">
        <v>424</v>
      </c>
      <c r="H346" s="249">
        <v>500</v>
      </c>
    </row>
    <row r="347" spans="1:8" hidden="1" outlineLevel="2">
      <c r="F347">
        <v>1377</v>
      </c>
      <c r="G347" t="s">
        <v>435</v>
      </c>
      <c r="H347" s="249">
        <v>200</v>
      </c>
    </row>
    <row r="348" spans="1:8" hidden="1" outlineLevel="2">
      <c r="F348">
        <v>1360</v>
      </c>
      <c r="G348" t="s">
        <v>426</v>
      </c>
      <c r="H348" s="249">
        <v>500</v>
      </c>
    </row>
    <row r="349" spans="1:8" hidden="1" outlineLevel="2">
      <c r="F349">
        <v>1125</v>
      </c>
      <c r="G349" t="s">
        <v>431</v>
      </c>
      <c r="H349" s="249">
        <v>0</v>
      </c>
    </row>
    <row r="350" spans="1:8" hidden="1" outlineLevel="1">
      <c r="D350" s="1080">
        <v>44500</v>
      </c>
      <c r="E350" s="1080" t="s">
        <v>467</v>
      </c>
      <c r="F350" s="1080"/>
      <c r="G350" s="1080"/>
      <c r="H350" s="1081">
        <f>SUM(H344:H349)</f>
        <v>1800</v>
      </c>
    </row>
    <row r="351" spans="1:8" collapsed="1">
      <c r="A351">
        <v>4</v>
      </c>
      <c r="B351" s="1">
        <v>4000</v>
      </c>
      <c r="C351" s="1" t="s">
        <v>468</v>
      </c>
      <c r="H351" s="251">
        <f>SUM(H304+H311+H334+H335+H338+H343+H350)</f>
        <v>322614</v>
      </c>
    </row>
    <row r="352" spans="1:8">
      <c r="A352" s="1082">
        <v>4</v>
      </c>
      <c r="B352" s="1082"/>
      <c r="C352" s="1082"/>
      <c r="D352" s="1082"/>
      <c r="E352" s="1083"/>
      <c r="F352" s="1083"/>
      <c r="G352" s="1083" t="s">
        <v>271</v>
      </c>
      <c r="H352" s="1084">
        <f>SUM(H351)</f>
        <v>322614</v>
      </c>
    </row>
    <row r="353" spans="1:8" hidden="1" outlineLevel="1">
      <c r="A353">
        <v>5</v>
      </c>
      <c r="C353" t="s">
        <v>275</v>
      </c>
      <c r="D353">
        <v>50000</v>
      </c>
      <c r="E353" t="s">
        <v>469</v>
      </c>
      <c r="F353">
        <v>1700</v>
      </c>
      <c r="G353" t="s">
        <v>421</v>
      </c>
      <c r="H353" s="251">
        <v>3236</v>
      </c>
    </row>
    <row r="354" spans="1:8" hidden="1" outlineLevel="1">
      <c r="D354" s="1085">
        <v>51100</v>
      </c>
      <c r="E354" s="1085" t="s">
        <v>470</v>
      </c>
      <c r="F354" s="1085">
        <v>1315</v>
      </c>
      <c r="G354" s="1085" t="s">
        <v>437</v>
      </c>
      <c r="H354" s="1086">
        <v>121300</v>
      </c>
    </row>
    <row r="355" spans="1:8" hidden="1" outlineLevel="2">
      <c r="F355">
        <v>1700</v>
      </c>
      <c r="G355" t="s">
        <v>421</v>
      </c>
      <c r="H355" s="249">
        <v>295000</v>
      </c>
    </row>
    <row r="356" spans="1:8" hidden="1" outlineLevel="2">
      <c r="C356" t="s">
        <v>275</v>
      </c>
      <c r="F356">
        <v>1700</v>
      </c>
      <c r="G356" t="s">
        <v>421</v>
      </c>
      <c r="H356" s="249">
        <v>55231</v>
      </c>
    </row>
    <row r="357" spans="1:8" hidden="1" outlineLevel="2">
      <c r="F357">
        <v>1505</v>
      </c>
      <c r="G357" t="s">
        <v>414</v>
      </c>
      <c r="H357" s="249">
        <v>49000</v>
      </c>
    </row>
    <row r="358" spans="1:8" hidden="1" outlineLevel="2">
      <c r="F358">
        <v>1405</v>
      </c>
      <c r="G358" t="s">
        <v>415</v>
      </c>
      <c r="H358" s="249">
        <v>12877</v>
      </c>
    </row>
    <row r="359" spans="1:8" hidden="1" outlineLevel="2">
      <c r="F359">
        <v>1319</v>
      </c>
      <c r="G359" t="s">
        <v>462</v>
      </c>
      <c r="H359" s="249">
        <v>1500</v>
      </c>
    </row>
    <row r="360" spans="1:8" hidden="1" outlineLevel="2">
      <c r="C360" t="s">
        <v>275</v>
      </c>
      <c r="F360">
        <v>1220</v>
      </c>
      <c r="G360" t="s">
        <v>429</v>
      </c>
      <c r="H360" s="249">
        <v>2200</v>
      </c>
    </row>
    <row r="361" spans="1:8" hidden="1" outlineLevel="2">
      <c r="F361">
        <v>1210</v>
      </c>
      <c r="G361" t="s">
        <v>430</v>
      </c>
      <c r="H361" s="249">
        <v>0</v>
      </c>
    </row>
    <row r="362" spans="1:8" hidden="1" outlineLevel="2">
      <c r="F362">
        <v>1110</v>
      </c>
      <c r="G362" t="s">
        <v>416</v>
      </c>
      <c r="H362" s="249">
        <v>0</v>
      </c>
    </row>
    <row r="363" spans="1:8" hidden="1" outlineLevel="1">
      <c r="D363" s="1080">
        <v>51200</v>
      </c>
      <c r="E363" s="1080" t="s">
        <v>471</v>
      </c>
      <c r="F363" s="1080"/>
      <c r="G363" s="1080"/>
      <c r="H363" s="1081">
        <f>SUM(H355:H362)</f>
        <v>415808</v>
      </c>
    </row>
    <row r="364" spans="1:8" hidden="1" outlineLevel="2">
      <c r="F364">
        <v>1700</v>
      </c>
      <c r="G364" t="s">
        <v>421</v>
      </c>
      <c r="H364" s="249">
        <v>1420</v>
      </c>
    </row>
    <row r="365" spans="1:8" hidden="1" outlineLevel="2">
      <c r="C365" t="s">
        <v>275</v>
      </c>
      <c r="F365">
        <v>1700</v>
      </c>
      <c r="G365" t="s">
        <v>421</v>
      </c>
      <c r="H365" s="249">
        <v>355</v>
      </c>
    </row>
    <row r="366" spans="1:8" hidden="1" outlineLevel="2">
      <c r="F366">
        <v>1505</v>
      </c>
      <c r="G366" t="s">
        <v>414</v>
      </c>
      <c r="H366" s="249">
        <v>400</v>
      </c>
    </row>
    <row r="367" spans="1:8" hidden="1" outlineLevel="2">
      <c r="F367">
        <v>1420</v>
      </c>
      <c r="G367" t="s">
        <v>422</v>
      </c>
      <c r="H367" s="249">
        <v>0</v>
      </c>
    </row>
    <row r="368" spans="1:8" hidden="1" outlineLevel="2">
      <c r="F368">
        <v>1405</v>
      </c>
      <c r="G368" t="s">
        <v>415</v>
      </c>
      <c r="H368" s="249">
        <v>1700</v>
      </c>
    </row>
    <row r="369" spans="4:8" hidden="1" outlineLevel="2">
      <c r="F369">
        <v>1315</v>
      </c>
      <c r="G369" t="s">
        <v>437</v>
      </c>
      <c r="H369" s="249">
        <v>2000</v>
      </c>
    </row>
    <row r="370" spans="4:8" hidden="1" outlineLevel="2">
      <c r="F370">
        <v>1210</v>
      </c>
      <c r="G370" t="s">
        <v>430</v>
      </c>
      <c r="H370" s="249">
        <v>1500</v>
      </c>
    </row>
    <row r="371" spans="4:8" hidden="1" outlineLevel="2">
      <c r="F371">
        <v>1110</v>
      </c>
      <c r="G371" t="s">
        <v>416</v>
      </c>
      <c r="H371" s="249">
        <v>149000</v>
      </c>
    </row>
    <row r="372" spans="4:8" hidden="1" outlineLevel="1">
      <c r="D372" s="1080">
        <v>51400</v>
      </c>
      <c r="E372" s="1080" t="s">
        <v>472</v>
      </c>
      <c r="F372" s="1080"/>
      <c r="G372" s="1080"/>
      <c r="H372" s="1081">
        <f>SUM(H364:H371)</f>
        <v>156375</v>
      </c>
    </row>
    <row r="373" spans="4:8" hidden="1" outlineLevel="2">
      <c r="F373">
        <v>1405</v>
      </c>
      <c r="G373" t="s">
        <v>415</v>
      </c>
      <c r="H373" s="249">
        <v>275000</v>
      </c>
    </row>
    <row r="374" spans="4:8" hidden="1" outlineLevel="2">
      <c r="F374">
        <v>1315</v>
      </c>
      <c r="G374" t="s">
        <v>437</v>
      </c>
      <c r="H374" s="249">
        <v>25000</v>
      </c>
    </row>
    <row r="375" spans="4:8" hidden="1" outlineLevel="2">
      <c r="F375">
        <v>1315</v>
      </c>
      <c r="G375" t="s">
        <v>437</v>
      </c>
      <c r="H375" s="249">
        <v>50000</v>
      </c>
    </row>
    <row r="376" spans="4:8" hidden="1" outlineLevel="2">
      <c r="F376">
        <v>1387</v>
      </c>
      <c r="G376" t="s">
        <v>423</v>
      </c>
      <c r="H376" s="249">
        <v>10000</v>
      </c>
    </row>
    <row r="377" spans="4:8" hidden="1" outlineLevel="2">
      <c r="F377">
        <v>1355</v>
      </c>
      <c r="G377" t="s">
        <v>436</v>
      </c>
      <c r="H377" s="249">
        <v>0</v>
      </c>
    </row>
    <row r="378" spans="4:8" hidden="1" outlineLevel="1">
      <c r="D378" s="1080">
        <v>51810</v>
      </c>
      <c r="E378" s="1080" t="s">
        <v>473</v>
      </c>
      <c r="F378" s="1080"/>
      <c r="G378" s="1080"/>
      <c r="H378" s="1081">
        <f>SUM(H373:H377)</f>
        <v>360000</v>
      </c>
    </row>
    <row r="379" spans="4:8" hidden="1" outlineLevel="2">
      <c r="F379">
        <v>1700</v>
      </c>
      <c r="G379" t="s">
        <v>421</v>
      </c>
      <c r="H379" s="249">
        <v>0</v>
      </c>
    </row>
    <row r="380" spans="4:8" hidden="1" outlineLevel="2">
      <c r="F380">
        <v>1505</v>
      </c>
      <c r="G380" t="s">
        <v>414</v>
      </c>
      <c r="H380" s="249">
        <v>0</v>
      </c>
    </row>
    <row r="381" spans="4:8" hidden="1" outlineLevel="2">
      <c r="F381">
        <v>1415</v>
      </c>
      <c r="G381" t="s">
        <v>460</v>
      </c>
      <c r="H381" s="249">
        <v>5000</v>
      </c>
    </row>
    <row r="382" spans="4:8" hidden="1" outlineLevel="2">
      <c r="F382">
        <v>1405</v>
      </c>
      <c r="G382" t="s">
        <v>415</v>
      </c>
      <c r="H382" s="249">
        <v>36731</v>
      </c>
    </row>
    <row r="383" spans="4:8" hidden="1" outlineLevel="2">
      <c r="F383">
        <v>1387</v>
      </c>
      <c r="G383" t="s">
        <v>423</v>
      </c>
      <c r="H383" s="249">
        <v>13000</v>
      </c>
    </row>
    <row r="384" spans="4:8" hidden="1" outlineLevel="2">
      <c r="F384">
        <v>1379</v>
      </c>
      <c r="G384" t="s">
        <v>424</v>
      </c>
      <c r="H384" s="249">
        <v>0</v>
      </c>
    </row>
    <row r="385" spans="3:8" hidden="1" outlineLevel="2">
      <c r="F385">
        <v>1377</v>
      </c>
      <c r="G385" t="s">
        <v>435</v>
      </c>
      <c r="H385" s="249">
        <v>5000</v>
      </c>
    </row>
    <row r="386" spans="3:8" hidden="1" outlineLevel="2">
      <c r="F386">
        <v>1377</v>
      </c>
      <c r="G386" t="s">
        <v>435</v>
      </c>
      <c r="H386" s="249">
        <v>12000</v>
      </c>
    </row>
    <row r="387" spans="3:8" hidden="1" outlineLevel="2">
      <c r="F387">
        <v>1355</v>
      </c>
      <c r="G387" t="s">
        <v>436</v>
      </c>
      <c r="H387" s="249">
        <v>33840</v>
      </c>
    </row>
    <row r="388" spans="3:8" hidden="1" outlineLevel="2">
      <c r="F388">
        <v>1319</v>
      </c>
      <c r="G388" t="s">
        <v>462</v>
      </c>
      <c r="H388" s="249">
        <v>150000</v>
      </c>
    </row>
    <row r="389" spans="3:8" hidden="1" outlineLevel="2">
      <c r="F389">
        <v>1315</v>
      </c>
      <c r="G389" t="s">
        <v>437</v>
      </c>
      <c r="H389" s="249">
        <v>0</v>
      </c>
    </row>
    <row r="390" spans="3:8" hidden="1" outlineLevel="2">
      <c r="F390">
        <v>1315</v>
      </c>
      <c r="G390" t="s">
        <v>437</v>
      </c>
      <c r="H390" s="249">
        <v>60458</v>
      </c>
    </row>
    <row r="391" spans="3:8" hidden="1" outlineLevel="2">
      <c r="F391">
        <v>1210</v>
      </c>
      <c r="G391" t="s">
        <v>430</v>
      </c>
      <c r="H391" s="249">
        <v>168711</v>
      </c>
    </row>
    <row r="392" spans="3:8" hidden="1" outlineLevel="2">
      <c r="F392">
        <v>1125</v>
      </c>
      <c r="G392" t="s">
        <v>431</v>
      </c>
      <c r="H392" s="249">
        <v>0</v>
      </c>
    </row>
    <row r="393" spans="3:8" hidden="1" outlineLevel="2">
      <c r="F393">
        <v>1125</v>
      </c>
      <c r="G393" t="s">
        <v>431</v>
      </c>
      <c r="H393" s="249">
        <v>0</v>
      </c>
    </row>
    <row r="394" spans="3:8" hidden="1" outlineLevel="2">
      <c r="F394">
        <v>1110</v>
      </c>
      <c r="G394" t="s">
        <v>416</v>
      </c>
      <c r="H394" s="249">
        <v>11838</v>
      </c>
    </row>
    <row r="395" spans="3:8" hidden="1" outlineLevel="2">
      <c r="F395">
        <v>1505</v>
      </c>
      <c r="G395" t="s">
        <v>414</v>
      </c>
      <c r="H395" s="249">
        <v>0</v>
      </c>
    </row>
    <row r="396" spans="3:8" hidden="1" outlineLevel="2">
      <c r="F396">
        <v>1420</v>
      </c>
      <c r="G396" t="s">
        <v>422</v>
      </c>
      <c r="H396" s="249">
        <v>0</v>
      </c>
    </row>
    <row r="397" spans="3:8" hidden="1" outlineLevel="2">
      <c r="C397" t="s">
        <v>275</v>
      </c>
      <c r="F397">
        <v>1220</v>
      </c>
      <c r="G397" t="s">
        <v>429</v>
      </c>
      <c r="H397" s="249">
        <v>100000</v>
      </c>
    </row>
    <row r="398" spans="3:8" hidden="1" outlineLevel="2">
      <c r="F398">
        <v>1210</v>
      </c>
      <c r="G398" t="s">
        <v>430</v>
      </c>
      <c r="H398" s="249">
        <v>2500</v>
      </c>
    </row>
    <row r="399" spans="3:8" hidden="1" outlineLevel="2">
      <c r="F399">
        <v>1125</v>
      </c>
      <c r="G399" t="s">
        <v>431</v>
      </c>
      <c r="H399" s="249">
        <v>0</v>
      </c>
    </row>
    <row r="400" spans="3:8" hidden="1" outlineLevel="1">
      <c r="D400" s="1080">
        <v>51900</v>
      </c>
      <c r="E400" s="1080" t="s">
        <v>474</v>
      </c>
      <c r="F400" s="1080"/>
      <c r="G400" s="1080"/>
      <c r="H400" s="1081">
        <f>SUM(H379:H399)</f>
        <v>599078</v>
      </c>
    </row>
    <row r="401" spans="3:8" hidden="1" outlineLevel="2">
      <c r="F401">
        <v>1700</v>
      </c>
      <c r="G401" t="s">
        <v>421</v>
      </c>
      <c r="H401" s="249">
        <v>100</v>
      </c>
    </row>
    <row r="402" spans="3:8" hidden="1" outlineLevel="2">
      <c r="F402">
        <v>1505</v>
      </c>
      <c r="G402" t="s">
        <v>414</v>
      </c>
      <c r="H402" s="249">
        <v>250</v>
      </c>
    </row>
    <row r="403" spans="3:8" hidden="1" outlineLevel="2">
      <c r="F403">
        <v>1415</v>
      </c>
      <c r="G403" t="s">
        <v>460</v>
      </c>
      <c r="H403" s="249">
        <v>5000</v>
      </c>
    </row>
    <row r="404" spans="3:8" hidden="1" outlineLevel="2">
      <c r="F404">
        <v>1405</v>
      </c>
      <c r="G404" t="s">
        <v>415</v>
      </c>
      <c r="H404" s="249">
        <v>4500</v>
      </c>
    </row>
    <row r="405" spans="3:8" hidden="1" outlineLevel="2">
      <c r="F405">
        <v>1387</v>
      </c>
      <c r="G405" t="s">
        <v>423</v>
      </c>
      <c r="H405" s="249">
        <v>200</v>
      </c>
    </row>
    <row r="406" spans="3:8" hidden="1" outlineLevel="2">
      <c r="F406">
        <v>1379</v>
      </c>
      <c r="G406" t="s">
        <v>424</v>
      </c>
      <c r="H406" s="249">
        <v>150</v>
      </c>
    </row>
    <row r="407" spans="3:8" hidden="1" outlineLevel="2">
      <c r="F407">
        <v>1360</v>
      </c>
      <c r="G407" t="s">
        <v>426</v>
      </c>
      <c r="H407" s="249">
        <v>0</v>
      </c>
    </row>
    <row r="408" spans="3:8" hidden="1" outlineLevel="2">
      <c r="F408">
        <v>1355</v>
      </c>
      <c r="G408" t="s">
        <v>436</v>
      </c>
      <c r="H408" s="249">
        <v>100</v>
      </c>
    </row>
    <row r="409" spans="3:8" hidden="1" outlineLevel="2">
      <c r="F409">
        <v>1340</v>
      </c>
      <c r="G409" t="s">
        <v>427</v>
      </c>
      <c r="H409" s="249">
        <v>350</v>
      </c>
    </row>
    <row r="410" spans="3:8" hidden="1" outlineLevel="2">
      <c r="F410">
        <v>1315</v>
      </c>
      <c r="G410" t="s">
        <v>437</v>
      </c>
      <c r="H410" s="249">
        <v>10000</v>
      </c>
    </row>
    <row r="411" spans="3:8" hidden="1" outlineLevel="2">
      <c r="C411" t="s">
        <v>275</v>
      </c>
      <c r="F411">
        <v>1220</v>
      </c>
      <c r="G411" t="s">
        <v>429</v>
      </c>
      <c r="H411" s="249">
        <v>2300</v>
      </c>
    </row>
    <row r="412" spans="3:8" hidden="1" outlineLevel="2">
      <c r="F412">
        <v>1210</v>
      </c>
      <c r="G412" t="s">
        <v>430</v>
      </c>
      <c r="H412" s="249">
        <v>5000</v>
      </c>
    </row>
    <row r="413" spans="3:8" hidden="1" outlineLevel="2">
      <c r="F413">
        <v>1125</v>
      </c>
      <c r="G413" t="s">
        <v>431</v>
      </c>
      <c r="H413" s="249">
        <v>400</v>
      </c>
    </row>
    <row r="414" spans="3:8" hidden="1" outlineLevel="2">
      <c r="F414">
        <v>1110</v>
      </c>
      <c r="G414" t="s">
        <v>416</v>
      </c>
      <c r="H414" s="249">
        <v>1500</v>
      </c>
    </row>
    <row r="415" spans="3:8" hidden="1" outlineLevel="1">
      <c r="D415" s="1080">
        <v>52000</v>
      </c>
      <c r="E415" s="1080" t="s">
        <v>475</v>
      </c>
      <c r="F415" s="1080"/>
      <c r="G415" s="1080"/>
      <c r="H415" s="1081">
        <f>SUM(H401:H414)</f>
        <v>29850</v>
      </c>
    </row>
    <row r="416" spans="3:8" hidden="1" outlineLevel="2">
      <c r="F416">
        <v>1110</v>
      </c>
      <c r="G416" t="s">
        <v>416</v>
      </c>
      <c r="H416" s="249">
        <v>500</v>
      </c>
    </row>
    <row r="417" spans="3:8" hidden="1" outlineLevel="2">
      <c r="C417" t="s">
        <v>275</v>
      </c>
      <c r="F417">
        <v>1220</v>
      </c>
      <c r="G417" t="s">
        <v>429</v>
      </c>
      <c r="H417" s="249">
        <v>1000</v>
      </c>
    </row>
    <row r="418" spans="3:8" hidden="1" outlineLevel="1">
      <c r="D418" s="1080">
        <v>52100</v>
      </c>
      <c r="E418" s="1080" t="s">
        <v>476</v>
      </c>
      <c r="F418" s="1080"/>
      <c r="G418" s="1080"/>
      <c r="H418" s="1081">
        <f>SUM(H416:H417)</f>
        <v>1500</v>
      </c>
    </row>
    <row r="419" spans="3:8" hidden="1" outlineLevel="2">
      <c r="F419">
        <v>1340</v>
      </c>
      <c r="G419" t="s">
        <v>427</v>
      </c>
      <c r="H419" s="249">
        <v>250</v>
      </c>
    </row>
    <row r="420" spans="3:8" hidden="1" outlineLevel="2">
      <c r="F420">
        <v>1319</v>
      </c>
      <c r="G420" t="s">
        <v>462</v>
      </c>
      <c r="H420" s="249">
        <v>50000</v>
      </c>
    </row>
    <row r="421" spans="3:8" hidden="1" outlineLevel="1">
      <c r="D421" s="1080">
        <v>52210</v>
      </c>
      <c r="E421" s="1080" t="s">
        <v>477</v>
      </c>
      <c r="F421" s="1080"/>
      <c r="G421" s="1080"/>
      <c r="H421" s="1081">
        <f>SUM(H419:H420)</f>
        <v>50250</v>
      </c>
    </row>
    <row r="422" spans="3:8" hidden="1" outlineLevel="2">
      <c r="F422">
        <v>1340</v>
      </c>
      <c r="G422" t="s">
        <v>427</v>
      </c>
      <c r="H422" s="249">
        <v>750</v>
      </c>
    </row>
    <row r="423" spans="3:8" hidden="1" outlineLevel="2">
      <c r="F423">
        <v>1327</v>
      </c>
      <c r="G423" t="s">
        <v>478</v>
      </c>
      <c r="H423" s="249">
        <v>0</v>
      </c>
    </row>
    <row r="424" spans="3:8" hidden="1" outlineLevel="2">
      <c r="F424">
        <v>1325</v>
      </c>
      <c r="G424" t="s">
        <v>461</v>
      </c>
      <c r="H424" s="249">
        <v>1500</v>
      </c>
    </row>
    <row r="425" spans="3:8" hidden="1" outlineLevel="2">
      <c r="F425">
        <v>1325</v>
      </c>
      <c r="G425" t="s">
        <v>461</v>
      </c>
      <c r="H425" s="249">
        <v>500</v>
      </c>
    </row>
    <row r="426" spans="3:8" hidden="1" outlineLevel="2">
      <c r="F426">
        <v>1320</v>
      </c>
      <c r="G426" t="s">
        <v>428</v>
      </c>
      <c r="H426" s="249">
        <v>2500</v>
      </c>
    </row>
    <row r="427" spans="3:8" hidden="1" outlineLevel="2">
      <c r="F427">
        <v>1319</v>
      </c>
      <c r="G427" t="s">
        <v>462</v>
      </c>
      <c r="H427" s="249">
        <v>13000</v>
      </c>
    </row>
    <row r="428" spans="3:8" hidden="1" outlineLevel="2">
      <c r="C428" t="s">
        <v>275</v>
      </c>
      <c r="F428">
        <v>1220</v>
      </c>
      <c r="G428" t="s">
        <v>429</v>
      </c>
      <c r="H428" s="249">
        <v>35000</v>
      </c>
    </row>
    <row r="429" spans="3:8" hidden="1" outlineLevel="1">
      <c r="D429" s="1080">
        <v>52220</v>
      </c>
      <c r="E429" s="1080" t="s">
        <v>479</v>
      </c>
      <c r="F429" s="1080"/>
      <c r="G429" s="1080"/>
      <c r="H429" s="1081">
        <f>SUM(H422:H428)</f>
        <v>53250</v>
      </c>
    </row>
    <row r="430" spans="3:8" hidden="1" outlineLevel="2">
      <c r="F430">
        <v>1700</v>
      </c>
      <c r="G430" t="s">
        <v>421</v>
      </c>
      <c r="H430" s="249">
        <v>564830</v>
      </c>
    </row>
    <row r="431" spans="3:8" hidden="1" outlineLevel="2">
      <c r="C431" t="s">
        <v>275</v>
      </c>
      <c r="F431">
        <v>1700</v>
      </c>
      <c r="G431" t="s">
        <v>421</v>
      </c>
      <c r="H431" s="249">
        <v>5000</v>
      </c>
    </row>
    <row r="432" spans="3:8" hidden="1" outlineLevel="2">
      <c r="F432">
        <v>1505</v>
      </c>
      <c r="G432" t="s">
        <v>414</v>
      </c>
      <c r="H432" s="249">
        <v>350</v>
      </c>
    </row>
    <row r="433" spans="3:8" hidden="1" outlineLevel="2">
      <c r="F433">
        <v>1405</v>
      </c>
      <c r="G433" t="s">
        <v>415</v>
      </c>
      <c r="H433" s="249">
        <v>2500</v>
      </c>
    </row>
    <row r="434" spans="3:8" hidden="1" outlineLevel="2">
      <c r="F434">
        <v>1387</v>
      </c>
      <c r="G434" t="s">
        <v>423</v>
      </c>
      <c r="H434" s="249">
        <v>5000</v>
      </c>
    </row>
    <row r="435" spans="3:8" hidden="1" outlineLevel="2">
      <c r="F435">
        <v>1360</v>
      </c>
      <c r="G435" t="s">
        <v>426</v>
      </c>
      <c r="H435" s="249">
        <v>2000</v>
      </c>
    </row>
    <row r="436" spans="3:8" hidden="1" outlineLevel="2">
      <c r="F436">
        <v>1360</v>
      </c>
      <c r="G436" t="s">
        <v>426</v>
      </c>
      <c r="H436" s="249">
        <v>0</v>
      </c>
    </row>
    <row r="437" spans="3:8" hidden="1" outlineLevel="2">
      <c r="F437">
        <v>1340</v>
      </c>
      <c r="G437" t="s">
        <v>427</v>
      </c>
      <c r="H437" s="249">
        <v>5000</v>
      </c>
    </row>
    <row r="438" spans="3:8" hidden="1" outlineLevel="2">
      <c r="F438">
        <v>1340</v>
      </c>
      <c r="G438" t="s">
        <v>427</v>
      </c>
      <c r="H438" s="249">
        <v>2500</v>
      </c>
    </row>
    <row r="439" spans="3:8" hidden="1" outlineLevel="2">
      <c r="F439">
        <v>1325</v>
      </c>
      <c r="G439" t="s">
        <v>461</v>
      </c>
      <c r="H439" s="249">
        <v>7613</v>
      </c>
    </row>
    <row r="440" spans="3:8" hidden="1" outlineLevel="2">
      <c r="F440">
        <v>1319</v>
      </c>
      <c r="G440" t="s">
        <v>462</v>
      </c>
      <c r="H440" s="249">
        <v>238713</v>
      </c>
    </row>
    <row r="441" spans="3:8" hidden="1" outlineLevel="2">
      <c r="F441">
        <v>1315</v>
      </c>
      <c r="G441" t="s">
        <v>437</v>
      </c>
      <c r="H441" s="249">
        <v>5000</v>
      </c>
    </row>
    <row r="442" spans="3:8" hidden="1" outlineLevel="2">
      <c r="C442" t="s">
        <v>275</v>
      </c>
      <c r="F442">
        <v>1220</v>
      </c>
      <c r="G442" t="s">
        <v>429</v>
      </c>
      <c r="H442" s="249">
        <v>45000</v>
      </c>
    </row>
    <row r="443" spans="3:8" hidden="1" outlineLevel="2">
      <c r="F443">
        <v>1110</v>
      </c>
      <c r="G443" t="s">
        <v>416</v>
      </c>
      <c r="H443" s="249">
        <v>800</v>
      </c>
    </row>
    <row r="444" spans="3:8" hidden="1" outlineLevel="1">
      <c r="D444" s="1080">
        <v>52230</v>
      </c>
      <c r="E444" s="1080" t="s">
        <v>480</v>
      </c>
      <c r="F444" s="1080"/>
      <c r="G444" s="1080"/>
      <c r="H444" s="1081">
        <f>SUM(H430:H443)</f>
        <v>884306</v>
      </c>
    </row>
    <row r="445" spans="3:8" hidden="1" outlineLevel="1">
      <c r="D445" s="1085">
        <v>52371</v>
      </c>
      <c r="E445" s="1085" t="s">
        <v>481</v>
      </c>
      <c r="F445" s="1085">
        <v>1379</v>
      </c>
      <c r="G445" s="1085" t="s">
        <v>424</v>
      </c>
      <c r="H445" s="1086">
        <v>500</v>
      </c>
    </row>
    <row r="446" spans="3:8" hidden="1" outlineLevel="2">
      <c r="F446">
        <v>1700</v>
      </c>
      <c r="G446" t="s">
        <v>421</v>
      </c>
      <c r="H446" s="249">
        <v>9830</v>
      </c>
    </row>
    <row r="447" spans="3:8" hidden="1" outlineLevel="2">
      <c r="C447" t="s">
        <v>275</v>
      </c>
      <c r="F447">
        <v>1700</v>
      </c>
      <c r="G447" t="s">
        <v>421</v>
      </c>
      <c r="H447" s="249">
        <v>2000</v>
      </c>
    </row>
    <row r="448" spans="3:8" hidden="1" outlineLevel="2">
      <c r="F448">
        <v>1505</v>
      </c>
      <c r="G448" t="s">
        <v>414</v>
      </c>
      <c r="H448" s="249">
        <v>5000</v>
      </c>
    </row>
    <row r="449" spans="6:8" hidden="1" outlineLevel="2">
      <c r="F449">
        <v>1405</v>
      </c>
      <c r="G449" t="s">
        <v>415</v>
      </c>
      <c r="H449" s="249">
        <v>4061</v>
      </c>
    </row>
    <row r="450" spans="6:8" hidden="1" outlineLevel="2">
      <c r="F450">
        <v>1387</v>
      </c>
      <c r="G450" t="s">
        <v>423</v>
      </c>
      <c r="H450" s="249">
        <v>1000</v>
      </c>
    </row>
    <row r="451" spans="6:8" hidden="1" outlineLevel="2">
      <c r="F451">
        <v>1380</v>
      </c>
      <c r="G451" t="s">
        <v>434</v>
      </c>
      <c r="H451" s="249">
        <v>4166</v>
      </c>
    </row>
    <row r="452" spans="6:8" hidden="1" outlineLevel="2">
      <c r="F452">
        <v>1379</v>
      </c>
      <c r="G452" t="s">
        <v>424</v>
      </c>
      <c r="H452" s="249">
        <v>0</v>
      </c>
    </row>
    <row r="453" spans="6:8" hidden="1" outlineLevel="2">
      <c r="F453">
        <v>1370</v>
      </c>
      <c r="G453" t="s">
        <v>425</v>
      </c>
      <c r="H453" s="249">
        <v>1147</v>
      </c>
    </row>
    <row r="454" spans="6:8" hidden="1" outlineLevel="2">
      <c r="F454">
        <v>1360</v>
      </c>
      <c r="G454" t="s">
        <v>426</v>
      </c>
      <c r="H454" s="249">
        <v>4162</v>
      </c>
    </row>
    <row r="455" spans="6:8" hidden="1" outlineLevel="2">
      <c r="F455">
        <v>1355</v>
      </c>
      <c r="G455" t="s">
        <v>436</v>
      </c>
      <c r="H455" s="249">
        <v>9192</v>
      </c>
    </row>
    <row r="456" spans="6:8" hidden="1" outlineLevel="2">
      <c r="F456">
        <v>1340</v>
      </c>
      <c r="G456" t="s">
        <v>427</v>
      </c>
      <c r="H456" s="249">
        <v>2000</v>
      </c>
    </row>
    <row r="457" spans="6:8" hidden="1" outlineLevel="2">
      <c r="F457">
        <v>1315</v>
      </c>
      <c r="G457" t="s">
        <v>437</v>
      </c>
      <c r="H457" s="249">
        <v>250</v>
      </c>
    </row>
    <row r="458" spans="6:8" hidden="1" outlineLevel="2">
      <c r="F458">
        <v>1210</v>
      </c>
      <c r="G458" t="s">
        <v>430</v>
      </c>
      <c r="H458" s="249">
        <v>4000</v>
      </c>
    </row>
    <row r="459" spans="6:8" hidden="1" outlineLevel="2">
      <c r="F459">
        <v>1125</v>
      </c>
      <c r="G459" t="s">
        <v>431</v>
      </c>
      <c r="H459" s="249">
        <v>0</v>
      </c>
    </row>
    <row r="460" spans="6:8" hidden="1" outlineLevel="2">
      <c r="F460">
        <v>1110</v>
      </c>
      <c r="G460" t="s">
        <v>416</v>
      </c>
      <c r="H460" s="249">
        <v>2000</v>
      </c>
    </row>
    <row r="461" spans="6:8" hidden="1" outlineLevel="2">
      <c r="F461">
        <v>1405</v>
      </c>
      <c r="G461" t="s">
        <v>415</v>
      </c>
      <c r="H461" s="249">
        <v>0</v>
      </c>
    </row>
    <row r="462" spans="6:8" hidden="1" outlineLevel="2">
      <c r="F462">
        <v>1210</v>
      </c>
      <c r="G462" t="s">
        <v>430</v>
      </c>
      <c r="H462" s="249">
        <v>500</v>
      </c>
    </row>
    <row r="463" spans="6:8" hidden="1" outlineLevel="2">
      <c r="F463">
        <v>1125</v>
      </c>
      <c r="G463" t="s">
        <v>431</v>
      </c>
      <c r="H463" s="249">
        <v>24</v>
      </c>
    </row>
    <row r="464" spans="6:8" hidden="1" outlineLevel="2">
      <c r="F464">
        <v>1150</v>
      </c>
      <c r="G464" t="s">
        <v>447</v>
      </c>
      <c r="H464" s="249">
        <v>18620</v>
      </c>
    </row>
    <row r="465" spans="3:8" hidden="1" outlineLevel="2">
      <c r="F465">
        <v>1700</v>
      </c>
      <c r="G465" t="s">
        <v>421</v>
      </c>
      <c r="H465" s="249">
        <v>4500</v>
      </c>
    </row>
    <row r="466" spans="3:8" hidden="1" outlineLevel="2">
      <c r="F466">
        <v>1505</v>
      </c>
      <c r="G466" t="s">
        <v>414</v>
      </c>
      <c r="H466" s="249">
        <v>7724</v>
      </c>
    </row>
    <row r="467" spans="3:8" hidden="1" outlineLevel="2">
      <c r="F467">
        <v>1405</v>
      </c>
      <c r="G467" t="s">
        <v>415</v>
      </c>
      <c r="H467" s="249">
        <v>5000</v>
      </c>
    </row>
    <row r="468" spans="3:8" hidden="1" outlineLevel="2">
      <c r="F468">
        <v>1315</v>
      </c>
      <c r="G468" t="s">
        <v>437</v>
      </c>
      <c r="H468" s="249">
        <v>10685</v>
      </c>
    </row>
    <row r="469" spans="3:8" hidden="1" outlineLevel="2">
      <c r="F469">
        <v>1210</v>
      </c>
      <c r="G469" t="s">
        <v>430</v>
      </c>
      <c r="H469" s="249">
        <v>15000</v>
      </c>
    </row>
    <row r="470" spans="3:8" hidden="1" outlineLevel="2">
      <c r="F470">
        <v>1150</v>
      </c>
      <c r="G470" t="s">
        <v>447</v>
      </c>
      <c r="H470" s="249">
        <v>0</v>
      </c>
    </row>
    <row r="471" spans="3:8" hidden="1" outlineLevel="2">
      <c r="F471">
        <v>1125</v>
      </c>
      <c r="G471" t="s">
        <v>431</v>
      </c>
      <c r="H471" s="249">
        <v>7275</v>
      </c>
    </row>
    <row r="472" spans="3:8" hidden="1" outlineLevel="2">
      <c r="F472">
        <v>1110</v>
      </c>
      <c r="G472" t="s">
        <v>416</v>
      </c>
      <c r="H472" s="249">
        <v>10103</v>
      </c>
    </row>
    <row r="473" spans="3:8" hidden="1" outlineLevel="1">
      <c r="D473" s="1080">
        <v>52415</v>
      </c>
      <c r="E473" s="1080" t="s">
        <v>482</v>
      </c>
      <c r="F473" s="1080"/>
      <c r="G473" s="1080"/>
      <c r="H473" s="1081">
        <f>SUM(H446:H472)</f>
        <v>128239</v>
      </c>
    </row>
    <row r="474" spans="3:8" hidden="1" outlineLevel="1">
      <c r="C474" t="s">
        <v>275</v>
      </c>
      <c r="D474" s="1085">
        <v>52420</v>
      </c>
      <c r="E474" s="1085" t="s">
        <v>483</v>
      </c>
      <c r="F474" s="1085">
        <v>1700</v>
      </c>
      <c r="G474" s="1085" t="s">
        <v>421</v>
      </c>
      <c r="H474" s="1086">
        <v>1000</v>
      </c>
    </row>
    <row r="475" spans="3:8" hidden="1" outlineLevel="2">
      <c r="F475">
        <v>1700</v>
      </c>
      <c r="G475" t="s">
        <v>421</v>
      </c>
      <c r="H475" s="249">
        <v>0</v>
      </c>
    </row>
    <row r="476" spans="3:8" hidden="1" outlineLevel="2">
      <c r="F476">
        <v>1505</v>
      </c>
      <c r="G476" t="s">
        <v>414</v>
      </c>
      <c r="H476" s="249">
        <v>500</v>
      </c>
    </row>
    <row r="477" spans="3:8" hidden="1" outlineLevel="2">
      <c r="F477">
        <v>1405</v>
      </c>
      <c r="G477" t="s">
        <v>415</v>
      </c>
      <c r="H477" s="249">
        <v>950</v>
      </c>
    </row>
    <row r="478" spans="3:8" hidden="1" outlineLevel="2">
      <c r="F478">
        <v>1210</v>
      </c>
      <c r="G478" t="s">
        <v>430</v>
      </c>
      <c r="H478" s="249">
        <v>500</v>
      </c>
    </row>
    <row r="479" spans="3:8" hidden="1" outlineLevel="2">
      <c r="F479">
        <v>1125</v>
      </c>
      <c r="G479" t="s">
        <v>431</v>
      </c>
      <c r="H479" s="249">
        <v>1689</v>
      </c>
    </row>
    <row r="480" spans="3:8" hidden="1" outlineLevel="2">
      <c r="F480">
        <v>1110</v>
      </c>
      <c r="G480" t="s">
        <v>416</v>
      </c>
      <c r="H480" s="249">
        <v>1150</v>
      </c>
    </row>
    <row r="481" spans="4:8" hidden="1" outlineLevel="1">
      <c r="D481" s="1080">
        <v>52440</v>
      </c>
      <c r="E481" s="1080" t="s">
        <v>484</v>
      </c>
      <c r="F481" s="1080"/>
      <c r="G481" s="1080"/>
      <c r="H481" s="1081">
        <f>SUM(H475:H480)</f>
        <v>4789</v>
      </c>
    </row>
    <row r="482" spans="4:8" hidden="1" outlineLevel="2">
      <c r="F482">
        <v>1700</v>
      </c>
      <c r="G482" t="s">
        <v>421</v>
      </c>
      <c r="H482" s="249">
        <v>173</v>
      </c>
    </row>
    <row r="483" spans="4:8" hidden="1" outlineLevel="2">
      <c r="F483">
        <v>1505</v>
      </c>
      <c r="G483" t="s">
        <v>414</v>
      </c>
      <c r="H483" s="249">
        <v>0</v>
      </c>
    </row>
    <row r="484" spans="4:8" hidden="1" outlineLevel="2">
      <c r="F484">
        <v>1505</v>
      </c>
      <c r="G484" t="s">
        <v>414</v>
      </c>
      <c r="H484" s="249">
        <v>100</v>
      </c>
    </row>
    <row r="485" spans="4:8" hidden="1" outlineLevel="2">
      <c r="F485">
        <v>1405</v>
      </c>
      <c r="G485" t="s">
        <v>415</v>
      </c>
      <c r="H485" s="249">
        <v>525</v>
      </c>
    </row>
    <row r="486" spans="4:8" hidden="1" outlineLevel="2">
      <c r="F486">
        <v>1387</v>
      </c>
      <c r="G486" t="s">
        <v>423</v>
      </c>
      <c r="H486" s="249">
        <v>100</v>
      </c>
    </row>
    <row r="487" spans="4:8" hidden="1" outlineLevel="2">
      <c r="F487">
        <v>1380</v>
      </c>
      <c r="G487" t="s">
        <v>434</v>
      </c>
      <c r="H487" s="249">
        <v>500</v>
      </c>
    </row>
    <row r="488" spans="4:8" hidden="1" outlineLevel="2">
      <c r="F488">
        <v>1379</v>
      </c>
      <c r="G488" t="s">
        <v>424</v>
      </c>
      <c r="H488" s="249">
        <v>400</v>
      </c>
    </row>
    <row r="489" spans="4:8" hidden="1" outlineLevel="2">
      <c r="F489">
        <v>1377</v>
      </c>
      <c r="G489" t="s">
        <v>435</v>
      </c>
      <c r="H489" s="249">
        <v>700</v>
      </c>
    </row>
    <row r="490" spans="4:8" hidden="1" outlineLevel="2">
      <c r="F490">
        <v>1360</v>
      </c>
      <c r="G490" t="s">
        <v>426</v>
      </c>
      <c r="H490" s="249">
        <v>400</v>
      </c>
    </row>
    <row r="491" spans="4:8" hidden="1" outlineLevel="2">
      <c r="F491">
        <v>1355</v>
      </c>
      <c r="G491" t="s">
        <v>436</v>
      </c>
      <c r="H491" s="249">
        <v>500</v>
      </c>
    </row>
    <row r="492" spans="4:8" hidden="1" outlineLevel="2">
      <c r="F492">
        <v>1210</v>
      </c>
      <c r="G492" t="s">
        <v>430</v>
      </c>
      <c r="H492" s="249">
        <v>500</v>
      </c>
    </row>
    <row r="493" spans="4:8" hidden="1" outlineLevel="1">
      <c r="D493" s="1080">
        <v>52460</v>
      </c>
      <c r="E493" s="1080" t="s">
        <v>485</v>
      </c>
      <c r="F493" s="1080"/>
      <c r="G493" s="1080"/>
      <c r="H493" s="1081">
        <f>SUM(H482:H492)</f>
        <v>3898</v>
      </c>
    </row>
    <row r="494" spans="4:8" hidden="1" outlineLevel="2">
      <c r="F494">
        <v>1330</v>
      </c>
      <c r="G494" t="s">
        <v>486</v>
      </c>
      <c r="H494" s="249">
        <v>0</v>
      </c>
    </row>
    <row r="495" spans="4:8" hidden="1" outlineLevel="2">
      <c r="F495">
        <v>1330</v>
      </c>
      <c r="G495" t="s">
        <v>486</v>
      </c>
      <c r="H495" s="249">
        <v>0</v>
      </c>
    </row>
    <row r="496" spans="4:8" hidden="1" outlineLevel="1">
      <c r="D496" s="1080">
        <v>52510</v>
      </c>
      <c r="E496" s="1080" t="s">
        <v>487</v>
      </c>
      <c r="F496" s="1080"/>
      <c r="G496" s="1080"/>
      <c r="H496" s="1081">
        <f>SUM(H494:H495)</f>
        <v>0</v>
      </c>
    </row>
    <row r="497" spans="3:8" hidden="1" outlineLevel="1">
      <c r="D497" s="1085">
        <v>52520</v>
      </c>
      <c r="E497" s="1085" t="s">
        <v>488</v>
      </c>
      <c r="F497" s="1085">
        <v>1330</v>
      </c>
      <c r="G497" s="1085" t="s">
        <v>486</v>
      </c>
      <c r="H497" s="1086">
        <v>0</v>
      </c>
    </row>
    <row r="498" spans="3:8" hidden="1" outlineLevel="1">
      <c r="D498" s="1085">
        <v>52530</v>
      </c>
      <c r="E498" s="1085" t="s">
        <v>489</v>
      </c>
      <c r="F498" s="1085">
        <v>1330</v>
      </c>
      <c r="G498" s="1085" t="s">
        <v>486</v>
      </c>
      <c r="H498" s="1086">
        <v>50000</v>
      </c>
    </row>
    <row r="499" spans="3:8" hidden="1" outlineLevel="2">
      <c r="F499">
        <v>1379</v>
      </c>
      <c r="G499" t="s">
        <v>424</v>
      </c>
      <c r="H499" s="249">
        <v>800</v>
      </c>
    </row>
    <row r="500" spans="3:8" hidden="1" outlineLevel="2">
      <c r="F500">
        <v>1340</v>
      </c>
      <c r="G500" t="s">
        <v>427</v>
      </c>
      <c r="H500" s="249">
        <v>1000</v>
      </c>
    </row>
    <row r="501" spans="3:8" hidden="1" outlineLevel="2">
      <c r="F501">
        <v>1330</v>
      </c>
      <c r="G501" t="s">
        <v>486</v>
      </c>
      <c r="H501" s="249">
        <v>30000</v>
      </c>
    </row>
    <row r="502" spans="3:8" hidden="1" outlineLevel="2">
      <c r="F502">
        <v>1315</v>
      </c>
      <c r="G502" t="s">
        <v>437</v>
      </c>
      <c r="H502" s="249">
        <v>100</v>
      </c>
    </row>
    <row r="503" spans="3:8" hidden="1" outlineLevel="2">
      <c r="C503" t="s">
        <v>275</v>
      </c>
      <c r="F503">
        <v>1220</v>
      </c>
      <c r="G503" t="s">
        <v>429</v>
      </c>
      <c r="H503" s="249">
        <v>500</v>
      </c>
    </row>
    <row r="504" spans="3:8" hidden="1" outlineLevel="2">
      <c r="F504">
        <v>1110</v>
      </c>
      <c r="G504" t="s">
        <v>416</v>
      </c>
      <c r="H504" s="249">
        <v>800</v>
      </c>
    </row>
    <row r="505" spans="3:8" hidden="1" outlineLevel="1">
      <c r="D505" s="1080">
        <v>52540</v>
      </c>
      <c r="E505" s="1080" t="s">
        <v>490</v>
      </c>
      <c r="F505" s="1080"/>
      <c r="G505" s="1080"/>
      <c r="H505" s="1081">
        <f>SUM(H499:H504)</f>
        <v>33200</v>
      </c>
    </row>
    <row r="506" spans="3:8" hidden="1" outlineLevel="2">
      <c r="F506">
        <v>1330</v>
      </c>
      <c r="G506" t="s">
        <v>486</v>
      </c>
      <c r="H506" s="249">
        <v>160000</v>
      </c>
    </row>
    <row r="507" spans="3:8" hidden="1" outlineLevel="2">
      <c r="F507">
        <v>1325</v>
      </c>
      <c r="G507" t="s">
        <v>461</v>
      </c>
      <c r="H507" s="249">
        <v>500</v>
      </c>
    </row>
    <row r="508" spans="3:8" hidden="1" outlineLevel="2">
      <c r="F508">
        <v>1319</v>
      </c>
      <c r="G508" t="s">
        <v>462</v>
      </c>
      <c r="H508" s="249">
        <v>0</v>
      </c>
    </row>
    <row r="509" spans="3:8" hidden="1" outlineLevel="1">
      <c r="D509" s="1080">
        <v>52550</v>
      </c>
      <c r="E509" s="1080" t="s">
        <v>491</v>
      </c>
      <c r="F509" s="1080"/>
      <c r="G509" s="1080"/>
      <c r="H509" s="1081">
        <f>SUM(H506:H508)</f>
        <v>160500</v>
      </c>
    </row>
    <row r="510" spans="3:8" hidden="1" outlineLevel="1">
      <c r="D510" s="1085">
        <v>52560</v>
      </c>
      <c r="E510" s="1085" t="s">
        <v>492</v>
      </c>
      <c r="F510" s="1085">
        <v>1320</v>
      </c>
      <c r="G510" s="1085" t="s">
        <v>428</v>
      </c>
      <c r="H510" s="1086">
        <v>0</v>
      </c>
    </row>
    <row r="511" spans="3:8" hidden="1" outlineLevel="2">
      <c r="F511">
        <v>1320</v>
      </c>
      <c r="G511" t="s">
        <v>428</v>
      </c>
      <c r="H511" s="249">
        <v>10000</v>
      </c>
    </row>
    <row r="512" spans="3:8" hidden="1" outlineLevel="2">
      <c r="C512" t="s">
        <v>275</v>
      </c>
      <c r="F512">
        <v>1220</v>
      </c>
      <c r="G512" t="s">
        <v>429</v>
      </c>
      <c r="H512" s="249">
        <v>4000</v>
      </c>
    </row>
    <row r="513" spans="3:8" hidden="1" outlineLevel="1">
      <c r="D513" s="1080">
        <v>52570</v>
      </c>
      <c r="E513" s="1080" t="s">
        <v>493</v>
      </c>
      <c r="F513" s="1080"/>
      <c r="G513" s="1080"/>
      <c r="H513" s="1081">
        <f>SUM(H511:H512)</f>
        <v>14000</v>
      </c>
    </row>
    <row r="514" spans="3:8" hidden="1" outlineLevel="2">
      <c r="F514">
        <v>1360</v>
      </c>
      <c r="G514" t="s">
        <v>426</v>
      </c>
      <c r="H514" s="249">
        <v>100</v>
      </c>
    </row>
    <row r="515" spans="3:8" hidden="1" outlineLevel="2">
      <c r="F515">
        <v>1110</v>
      </c>
      <c r="G515" t="s">
        <v>416</v>
      </c>
      <c r="H515" s="249">
        <v>100</v>
      </c>
    </row>
    <row r="516" spans="3:8" hidden="1" outlineLevel="1">
      <c r="D516" s="1080">
        <v>52610</v>
      </c>
      <c r="E516" s="1080" t="s">
        <v>494</v>
      </c>
      <c r="F516" s="1080"/>
      <c r="G516" s="1080"/>
      <c r="H516" s="1081">
        <f>SUM(H514:H515)</f>
        <v>200</v>
      </c>
    </row>
    <row r="517" spans="3:8" hidden="1" outlineLevel="2">
      <c r="F517">
        <v>1415</v>
      </c>
      <c r="G517" t="s">
        <v>460</v>
      </c>
      <c r="H517" s="249">
        <v>25000</v>
      </c>
    </row>
    <row r="518" spans="3:8" hidden="1" outlineLevel="2">
      <c r="F518">
        <v>1405</v>
      </c>
      <c r="G518" t="s">
        <v>415</v>
      </c>
      <c r="H518" s="249">
        <v>72181</v>
      </c>
    </row>
    <row r="519" spans="3:8" hidden="1" outlineLevel="2">
      <c r="F519">
        <v>1210</v>
      </c>
      <c r="G519" t="s">
        <v>430</v>
      </c>
      <c r="H519" s="249">
        <v>4000</v>
      </c>
    </row>
    <row r="520" spans="3:8" hidden="1" outlineLevel="1">
      <c r="D520" s="1080">
        <v>52640</v>
      </c>
      <c r="E520" s="1080" t="s">
        <v>495</v>
      </c>
      <c r="F520" s="1080"/>
      <c r="G520" s="1080"/>
      <c r="H520" s="1081">
        <f>SUM(H517:H519)</f>
        <v>101181</v>
      </c>
    </row>
    <row r="521" spans="3:8" hidden="1" outlineLevel="1">
      <c r="D521" s="1085">
        <v>52660</v>
      </c>
      <c r="E521" s="1085" t="s">
        <v>496</v>
      </c>
      <c r="F521" s="1085">
        <v>1405</v>
      </c>
      <c r="G521" s="1085" t="s">
        <v>415</v>
      </c>
      <c r="H521" s="1086">
        <v>25000</v>
      </c>
    </row>
    <row r="522" spans="3:8" hidden="1" outlineLevel="1">
      <c r="D522" s="1085">
        <v>52665</v>
      </c>
      <c r="E522" s="1085" t="s">
        <v>497</v>
      </c>
      <c r="F522" s="1085">
        <v>1340</v>
      </c>
      <c r="G522" s="1085" t="s">
        <v>427</v>
      </c>
      <c r="H522" s="1086">
        <v>0</v>
      </c>
    </row>
    <row r="523" spans="3:8" hidden="1" outlineLevel="1">
      <c r="D523" s="1085">
        <v>52670</v>
      </c>
      <c r="E523" s="1085" t="s">
        <v>498</v>
      </c>
      <c r="F523" s="1085">
        <v>1405</v>
      </c>
      <c r="G523" s="1085" t="s">
        <v>415</v>
      </c>
      <c r="H523" s="1086">
        <v>300</v>
      </c>
    </row>
    <row r="524" spans="3:8" hidden="1" outlineLevel="1">
      <c r="D524" s="1085">
        <v>52680</v>
      </c>
      <c r="E524" s="1085" t="s">
        <v>499</v>
      </c>
      <c r="F524" s="1085">
        <v>1405</v>
      </c>
      <c r="G524" s="1085" t="s">
        <v>415</v>
      </c>
      <c r="H524" s="1086">
        <v>5800</v>
      </c>
    </row>
    <row r="525" spans="3:8" hidden="1" outlineLevel="2">
      <c r="F525">
        <v>1210</v>
      </c>
      <c r="G525" t="s">
        <v>430</v>
      </c>
      <c r="H525" s="249">
        <v>500</v>
      </c>
    </row>
    <row r="526" spans="3:8" hidden="1" outlineLevel="2">
      <c r="C526" t="s">
        <v>275</v>
      </c>
      <c r="F526">
        <v>1220</v>
      </c>
      <c r="G526" t="s">
        <v>429</v>
      </c>
      <c r="H526" s="249">
        <v>500</v>
      </c>
    </row>
    <row r="527" spans="3:8" hidden="1" outlineLevel="1">
      <c r="D527" s="1080">
        <v>52700</v>
      </c>
      <c r="E527" s="1080" t="s">
        <v>500</v>
      </c>
      <c r="F527" s="1080">
        <v>1210</v>
      </c>
      <c r="G527" s="1080" t="s">
        <v>430</v>
      </c>
      <c r="H527" s="1081">
        <f>SUM(H525:H526)</f>
        <v>1000</v>
      </c>
    </row>
    <row r="528" spans="3:8" hidden="1" outlineLevel="2">
      <c r="F528">
        <v>1387</v>
      </c>
      <c r="G528" t="s">
        <v>423</v>
      </c>
      <c r="H528" s="249">
        <v>0</v>
      </c>
    </row>
    <row r="529" spans="1:8" hidden="1" outlineLevel="2">
      <c r="F529">
        <v>1377</v>
      </c>
      <c r="G529" t="s">
        <v>435</v>
      </c>
      <c r="H529" s="249">
        <v>2500</v>
      </c>
    </row>
    <row r="530" spans="1:8" hidden="1" outlineLevel="2">
      <c r="F530">
        <v>1340</v>
      </c>
      <c r="G530" t="s">
        <v>427</v>
      </c>
      <c r="H530" s="249">
        <v>4500</v>
      </c>
    </row>
    <row r="531" spans="1:8" hidden="1" outlineLevel="2">
      <c r="F531">
        <v>1319</v>
      </c>
      <c r="G531" t="s">
        <v>462</v>
      </c>
      <c r="H531" s="249">
        <v>1500</v>
      </c>
    </row>
    <row r="532" spans="1:8" hidden="1" outlineLevel="2">
      <c r="C532" t="s">
        <v>275</v>
      </c>
      <c r="F532">
        <v>1220</v>
      </c>
      <c r="G532" t="s">
        <v>429</v>
      </c>
      <c r="H532" s="249">
        <v>500</v>
      </c>
    </row>
    <row r="533" spans="1:8" hidden="1" outlineLevel="1">
      <c r="D533" s="1080">
        <v>52710</v>
      </c>
      <c r="E533" s="1080" t="s">
        <v>501</v>
      </c>
      <c r="F533" s="1080"/>
      <c r="G533" s="1080"/>
      <c r="H533" s="1081">
        <f>SUM(H528:H532)</f>
        <v>9000</v>
      </c>
    </row>
    <row r="534" spans="1:8" hidden="1" outlineLevel="2">
      <c r="F534">
        <v>1405</v>
      </c>
      <c r="G534" t="s">
        <v>415</v>
      </c>
      <c r="H534" s="249">
        <v>3000</v>
      </c>
    </row>
    <row r="535" spans="1:8" hidden="1" outlineLevel="2">
      <c r="C535" t="s">
        <v>275</v>
      </c>
      <c r="F535">
        <v>1220</v>
      </c>
      <c r="G535" t="s">
        <v>429</v>
      </c>
      <c r="H535" s="249">
        <v>0</v>
      </c>
    </row>
    <row r="536" spans="1:8" hidden="1" outlineLevel="1">
      <c r="D536" s="1080">
        <v>52715</v>
      </c>
      <c r="E536" s="1080" t="s">
        <v>469</v>
      </c>
      <c r="F536" s="1080"/>
      <c r="G536" s="1080"/>
      <c r="H536" s="1081">
        <f>SUM(H534:H535)</f>
        <v>3000</v>
      </c>
    </row>
    <row r="537" spans="1:8" hidden="1" outlineLevel="1">
      <c r="D537" s="1085">
        <v>52728</v>
      </c>
      <c r="E537" s="1085" t="s">
        <v>502</v>
      </c>
      <c r="F537" s="1085">
        <v>1405</v>
      </c>
      <c r="G537" s="1085" t="s">
        <v>415</v>
      </c>
      <c r="H537" s="1086">
        <v>0</v>
      </c>
    </row>
    <row r="538" spans="1:8" hidden="1" outlineLevel="1">
      <c r="D538" s="1085">
        <v>52732</v>
      </c>
      <c r="E538" s="1085" t="s">
        <v>503</v>
      </c>
      <c r="F538" s="1085">
        <v>1405</v>
      </c>
      <c r="G538" s="1085" t="s">
        <v>415</v>
      </c>
      <c r="H538" s="1086">
        <v>0</v>
      </c>
    </row>
    <row r="539" spans="1:8" hidden="1" outlineLevel="1">
      <c r="D539" s="1085">
        <v>59000</v>
      </c>
      <c r="E539" s="1085" t="s">
        <v>504</v>
      </c>
      <c r="F539" s="1085">
        <v>1700</v>
      </c>
      <c r="G539" s="1085" t="s">
        <v>421</v>
      </c>
      <c r="H539" s="1086">
        <v>10273</v>
      </c>
    </row>
    <row r="540" spans="1:8" ht="16" collapsed="1" thickBot="1">
      <c r="A540" s="919">
        <v>5</v>
      </c>
      <c r="B540" s="1089">
        <v>5000</v>
      </c>
      <c r="C540" s="1089" t="s">
        <v>505</v>
      </c>
      <c r="D540" s="919"/>
      <c r="E540" s="919"/>
      <c r="F540" s="919"/>
      <c r="G540" s="919"/>
      <c r="H540" s="1090">
        <f>SUM(H353+H354+H474+H363+H372+H378+H400+H415+H418+H421+H429+H444+H445+H473+H481+H493+H496+H497+H498+H505+H509+H510+H513+H516+H520+H521+H523+H522+H524+H527+H533+H536+H537+H538+H539)</f>
        <v>3226833</v>
      </c>
    </row>
    <row r="541" spans="1:8">
      <c r="A541" s="1082">
        <v>5</v>
      </c>
      <c r="B541" s="1082"/>
      <c r="C541" s="1082"/>
      <c r="D541" s="1082"/>
      <c r="E541" s="1083"/>
      <c r="F541" s="1083"/>
      <c r="G541" s="1083" t="s">
        <v>272</v>
      </c>
      <c r="H541" s="1084">
        <f>H540</f>
        <v>3226833</v>
      </c>
    </row>
    <row r="542" spans="1:8" ht="14.25" customHeight="1" thickBot="1">
      <c r="A542" s="1098">
        <v>6</v>
      </c>
      <c r="B542" s="1099">
        <v>6100</v>
      </c>
      <c r="C542" s="1099" t="s">
        <v>506</v>
      </c>
      <c r="D542" s="1098">
        <v>61306</v>
      </c>
      <c r="E542" s="1098" t="s">
        <v>507</v>
      </c>
      <c r="F542" s="1098">
        <v>1319</v>
      </c>
      <c r="G542" s="1098" t="s">
        <v>462</v>
      </c>
      <c r="H542" s="1100">
        <v>0</v>
      </c>
    </row>
    <row r="543" spans="1:8" hidden="1" outlineLevel="1">
      <c r="D543">
        <v>62200</v>
      </c>
      <c r="E543" t="s">
        <v>508</v>
      </c>
      <c r="F543">
        <v>1110</v>
      </c>
      <c r="G543" t="s">
        <v>416</v>
      </c>
      <c r="H543" s="249">
        <v>0</v>
      </c>
    </row>
    <row r="544" spans="1:8" hidden="1" outlineLevel="1">
      <c r="D544">
        <v>62304</v>
      </c>
      <c r="E544" t="s">
        <v>509</v>
      </c>
      <c r="F544">
        <v>1319</v>
      </c>
      <c r="G544" t="s">
        <v>462</v>
      </c>
      <c r="H544" s="249">
        <v>0</v>
      </c>
    </row>
    <row r="545" spans="1:8" hidden="1" outlineLevel="1">
      <c r="D545">
        <v>62305</v>
      </c>
      <c r="E545" t="s">
        <v>510</v>
      </c>
      <c r="F545">
        <v>1340</v>
      </c>
      <c r="G545" t="s">
        <v>427</v>
      </c>
      <c r="H545" s="249">
        <v>0</v>
      </c>
    </row>
    <row r="546" spans="1:8" hidden="1" outlineLevel="1">
      <c r="D546">
        <v>62306</v>
      </c>
      <c r="E546" t="s">
        <v>511</v>
      </c>
      <c r="F546">
        <v>1319</v>
      </c>
      <c r="G546" t="s">
        <v>462</v>
      </c>
      <c r="H546" s="249">
        <v>1000</v>
      </c>
    </row>
    <row r="547" spans="1:8" ht="16" collapsed="1" thickBot="1">
      <c r="A547" s="919">
        <v>6</v>
      </c>
      <c r="B547" s="1089">
        <v>6200</v>
      </c>
      <c r="C547" s="1089" t="s">
        <v>512</v>
      </c>
      <c r="D547" s="919"/>
      <c r="E547" s="919"/>
      <c r="F547" s="919"/>
      <c r="G547" s="919"/>
      <c r="H547" s="1090">
        <f>SUM(H543:H546)</f>
        <v>1000</v>
      </c>
    </row>
    <row r="548" spans="1:8" hidden="1" outlineLevel="2">
      <c r="F548">
        <v>1377</v>
      </c>
      <c r="G548" t="s">
        <v>435</v>
      </c>
      <c r="H548" s="249">
        <v>0</v>
      </c>
    </row>
    <row r="549" spans="1:8" hidden="1" outlineLevel="2">
      <c r="F549">
        <v>1377</v>
      </c>
      <c r="G549" t="s">
        <v>435</v>
      </c>
      <c r="H549" s="249">
        <v>0</v>
      </c>
    </row>
    <row r="550" spans="1:8" hidden="1" outlineLevel="2">
      <c r="F550">
        <v>1377</v>
      </c>
      <c r="G550" t="s">
        <v>435</v>
      </c>
      <c r="H550" s="249">
        <v>0</v>
      </c>
    </row>
    <row r="551" spans="1:8" hidden="1" outlineLevel="2">
      <c r="F551">
        <v>1377</v>
      </c>
      <c r="G551" t="s">
        <v>435</v>
      </c>
      <c r="H551" s="249">
        <v>0</v>
      </c>
    </row>
    <row r="552" spans="1:8" hidden="1" outlineLevel="2">
      <c r="F552">
        <v>1377</v>
      </c>
      <c r="G552" t="s">
        <v>435</v>
      </c>
      <c r="H552" s="249">
        <v>0</v>
      </c>
    </row>
    <row r="553" spans="1:8" hidden="1" outlineLevel="2">
      <c r="F553">
        <v>1360</v>
      </c>
      <c r="G553" t="s">
        <v>426</v>
      </c>
      <c r="H553" s="249">
        <v>0</v>
      </c>
    </row>
    <row r="554" spans="1:8" hidden="1" outlineLevel="2">
      <c r="F554">
        <v>1320</v>
      </c>
      <c r="G554" t="s">
        <v>428</v>
      </c>
      <c r="H554" s="249">
        <v>5000</v>
      </c>
    </row>
    <row r="555" spans="1:8" hidden="1" outlineLevel="2">
      <c r="F555">
        <v>1319</v>
      </c>
      <c r="G555" t="s">
        <v>462</v>
      </c>
      <c r="H555" s="249">
        <v>0</v>
      </c>
    </row>
    <row r="556" spans="1:8" hidden="1" outlineLevel="2">
      <c r="F556">
        <v>1319</v>
      </c>
      <c r="G556" t="s">
        <v>462</v>
      </c>
      <c r="H556" s="249">
        <v>7580</v>
      </c>
    </row>
    <row r="557" spans="1:8" hidden="1" outlineLevel="2">
      <c r="C557" t="s">
        <v>275</v>
      </c>
      <c r="F557">
        <v>1220</v>
      </c>
      <c r="G557" t="s">
        <v>429</v>
      </c>
      <c r="H557" s="249">
        <v>5000</v>
      </c>
    </row>
    <row r="558" spans="1:8" hidden="1" outlineLevel="2">
      <c r="C558" t="s">
        <v>275</v>
      </c>
      <c r="F558">
        <v>1220</v>
      </c>
      <c r="G558" t="s">
        <v>429</v>
      </c>
      <c r="H558" s="249">
        <v>1000</v>
      </c>
    </row>
    <row r="559" spans="1:8" hidden="1" outlineLevel="1" collapsed="1">
      <c r="D559" s="1080">
        <v>64110</v>
      </c>
      <c r="E559" s="1080" t="s">
        <v>513</v>
      </c>
      <c r="F559" s="1080"/>
      <c r="G559" s="1080"/>
      <c r="H559" s="1081">
        <f>SUM(H548:H558)</f>
        <v>18580</v>
      </c>
    </row>
    <row r="560" spans="1:8" hidden="1" outlineLevel="2">
      <c r="F560">
        <v>1405</v>
      </c>
      <c r="G560" t="s">
        <v>415</v>
      </c>
      <c r="H560" s="249">
        <v>2320</v>
      </c>
    </row>
    <row r="561" spans="3:8" hidden="1" outlineLevel="2">
      <c r="F561">
        <v>1377</v>
      </c>
      <c r="G561" t="s">
        <v>435</v>
      </c>
      <c r="H561" s="249">
        <v>2000</v>
      </c>
    </row>
    <row r="562" spans="3:8" hidden="1" outlineLevel="2">
      <c r="F562">
        <v>1319</v>
      </c>
      <c r="G562" t="s">
        <v>462</v>
      </c>
      <c r="H562" s="249">
        <v>0</v>
      </c>
    </row>
    <row r="563" spans="3:8" hidden="1" outlineLevel="2">
      <c r="F563">
        <v>1319</v>
      </c>
      <c r="G563" t="s">
        <v>462</v>
      </c>
      <c r="H563" s="249">
        <v>1000</v>
      </c>
    </row>
    <row r="564" spans="3:8" hidden="1" outlineLevel="2">
      <c r="F564">
        <v>1315</v>
      </c>
      <c r="G564" t="s">
        <v>437</v>
      </c>
      <c r="H564" s="249">
        <v>1500</v>
      </c>
    </row>
    <row r="565" spans="3:8" hidden="1" outlineLevel="1" collapsed="1">
      <c r="D565" s="1080">
        <v>64120</v>
      </c>
      <c r="E565" s="1080" t="s">
        <v>514</v>
      </c>
      <c r="F565" s="1080"/>
      <c r="G565" s="1080"/>
      <c r="H565" s="1081">
        <f>SUM(H560:H564)</f>
        <v>6820</v>
      </c>
    </row>
    <row r="566" spans="3:8" hidden="1" outlineLevel="2">
      <c r="F566">
        <v>1700</v>
      </c>
      <c r="G566" t="s">
        <v>421</v>
      </c>
      <c r="H566" s="249">
        <v>0</v>
      </c>
    </row>
    <row r="567" spans="3:8" hidden="1" outlineLevel="2">
      <c r="F567">
        <v>1700</v>
      </c>
      <c r="G567" t="s">
        <v>421</v>
      </c>
      <c r="H567" s="249">
        <v>0</v>
      </c>
    </row>
    <row r="568" spans="3:8" hidden="1" outlineLevel="2">
      <c r="F568">
        <v>1505</v>
      </c>
      <c r="G568" t="s">
        <v>414</v>
      </c>
      <c r="H568" s="249">
        <v>2379</v>
      </c>
    </row>
    <row r="569" spans="3:8" hidden="1" outlineLevel="2">
      <c r="F569">
        <v>1360</v>
      </c>
      <c r="G569" t="s">
        <v>426</v>
      </c>
      <c r="H569" s="249">
        <v>2000</v>
      </c>
    </row>
    <row r="570" spans="3:8" hidden="1" outlineLevel="2">
      <c r="F570">
        <v>1315</v>
      </c>
      <c r="G570" t="s">
        <v>437</v>
      </c>
      <c r="H570" s="249">
        <v>3000</v>
      </c>
    </row>
    <row r="571" spans="3:8" hidden="1" outlineLevel="2">
      <c r="C571" t="s">
        <v>275</v>
      </c>
      <c r="F571">
        <v>1220</v>
      </c>
      <c r="G571" t="s">
        <v>429</v>
      </c>
      <c r="H571" s="249">
        <v>5000</v>
      </c>
    </row>
    <row r="572" spans="3:8" hidden="1" outlineLevel="2">
      <c r="F572">
        <v>1110</v>
      </c>
      <c r="G572" t="s">
        <v>416</v>
      </c>
      <c r="H572" s="249">
        <v>0</v>
      </c>
    </row>
    <row r="573" spans="3:8" hidden="1" outlineLevel="2">
      <c r="F573">
        <v>1110</v>
      </c>
      <c r="G573" t="s">
        <v>416</v>
      </c>
      <c r="H573" s="249">
        <v>0</v>
      </c>
    </row>
    <row r="574" spans="3:8" hidden="1" outlineLevel="1">
      <c r="D574" s="1080">
        <v>64310</v>
      </c>
      <c r="E574" s="1080" t="s">
        <v>515</v>
      </c>
      <c r="F574" s="1080"/>
      <c r="G574" s="1080"/>
      <c r="H574" s="1081">
        <f>SUM(H566:H573)</f>
        <v>12379</v>
      </c>
    </row>
    <row r="575" spans="3:8" hidden="1" outlineLevel="2">
      <c r="F575">
        <v>1700</v>
      </c>
      <c r="G575" t="s">
        <v>421</v>
      </c>
      <c r="H575" s="249">
        <v>0</v>
      </c>
    </row>
    <row r="576" spans="3:8" hidden="1" outlineLevel="2">
      <c r="F576">
        <v>1210</v>
      </c>
      <c r="G576" t="s">
        <v>430</v>
      </c>
      <c r="H576" s="249">
        <v>0</v>
      </c>
    </row>
    <row r="577" spans="1:8" hidden="1" outlineLevel="2">
      <c r="F577">
        <v>1125</v>
      </c>
      <c r="G577" t="s">
        <v>431</v>
      </c>
      <c r="H577" s="249">
        <v>1500</v>
      </c>
    </row>
    <row r="578" spans="1:8" hidden="1" outlineLevel="1">
      <c r="D578" s="1080">
        <v>64320</v>
      </c>
      <c r="E578" s="1080" t="s">
        <v>516</v>
      </c>
      <c r="F578" s="1080"/>
      <c r="G578" s="1080"/>
      <c r="H578" s="1081">
        <f>SUM(H575:H577)</f>
        <v>1500</v>
      </c>
    </row>
    <row r="579" spans="1:8" ht="16.5" customHeight="1" collapsed="1">
      <c r="A579">
        <v>6</v>
      </c>
      <c r="B579" s="1">
        <v>6400</v>
      </c>
      <c r="C579" s="1" t="s">
        <v>517</v>
      </c>
      <c r="H579" s="251">
        <f>SUM(H559+H565+H574+H578)</f>
        <v>39279</v>
      </c>
    </row>
    <row r="580" spans="1:8">
      <c r="A580" s="1082">
        <v>6</v>
      </c>
      <c r="B580" s="1082"/>
      <c r="C580" s="1082"/>
      <c r="D580" s="1082"/>
      <c r="E580" s="1083"/>
      <c r="F580" s="1083"/>
      <c r="G580" s="1083" t="s">
        <v>273</v>
      </c>
      <c r="H580" s="1084">
        <f>SUM(H542+H547+H579)</f>
        <v>40279</v>
      </c>
    </row>
    <row r="581" spans="1:8" hidden="1" outlineLevel="1">
      <c r="F581">
        <v>1700</v>
      </c>
      <c r="G581" t="s">
        <v>421</v>
      </c>
      <c r="H581" s="249">
        <v>0</v>
      </c>
    </row>
    <row r="582" spans="1:8" hidden="1" outlineLevel="1">
      <c r="F582">
        <v>1405</v>
      </c>
      <c r="G582" t="s">
        <v>415</v>
      </c>
      <c r="H582" s="249">
        <v>0</v>
      </c>
    </row>
    <row r="583" spans="1:8" hidden="1" outlineLevel="1">
      <c r="F583">
        <v>1315</v>
      </c>
      <c r="G583" t="s">
        <v>437</v>
      </c>
      <c r="H583" s="249">
        <v>201201</v>
      </c>
    </row>
    <row r="584" spans="1:8" hidden="1" outlineLevel="1">
      <c r="F584">
        <v>1210</v>
      </c>
      <c r="G584" t="s">
        <v>430</v>
      </c>
      <c r="H584" s="249">
        <v>162814</v>
      </c>
    </row>
    <row r="585" spans="1:8" collapsed="1">
      <c r="A585">
        <v>7</v>
      </c>
      <c r="B585" s="1">
        <v>7000</v>
      </c>
      <c r="C585" s="1" t="s">
        <v>283</v>
      </c>
      <c r="D585">
        <v>79430</v>
      </c>
      <c r="E585" t="s">
        <v>518</v>
      </c>
      <c r="H585" s="251">
        <f>SUM(H581:H584)</f>
        <v>364015</v>
      </c>
    </row>
    <row r="586" spans="1:8">
      <c r="A586" s="1082">
        <v>7</v>
      </c>
      <c r="B586" s="1082"/>
      <c r="C586" s="1082"/>
      <c r="D586" s="1082"/>
      <c r="E586" s="1083"/>
      <c r="F586" s="1083"/>
      <c r="G586" s="1083" t="s">
        <v>519</v>
      </c>
      <c r="H586" s="1084">
        <f>SUM(H585)</f>
        <v>364015</v>
      </c>
    </row>
    <row r="587" spans="1:8">
      <c r="A587" s="469">
        <v>8</v>
      </c>
      <c r="B587" s="469"/>
      <c r="C587" s="75" t="s">
        <v>275</v>
      </c>
      <c r="D587">
        <v>71000</v>
      </c>
      <c r="E587" t="s">
        <v>520</v>
      </c>
      <c r="F587">
        <v>1220</v>
      </c>
      <c r="G587" t="s">
        <v>429</v>
      </c>
      <c r="H587" s="251">
        <v>55000</v>
      </c>
    </row>
    <row r="588" spans="1:8">
      <c r="A588" s="1082">
        <v>8</v>
      </c>
      <c r="B588" s="1082"/>
      <c r="C588" s="1082"/>
      <c r="D588" s="1082"/>
      <c r="E588" s="1083"/>
      <c r="F588" s="1083"/>
      <c r="G588" s="1083" t="s">
        <v>273</v>
      </c>
      <c r="H588" s="1084">
        <f>SUM(H587:H587)</f>
        <v>55000</v>
      </c>
    </row>
    <row r="589" spans="1:8" ht="19">
      <c r="G589" s="1101" t="s">
        <v>219</v>
      </c>
      <c r="H589" s="1102">
        <f>SUM(H8+H87+H298+H352+H541+H580+H586+H588)</f>
        <v>18687474</v>
      </c>
    </row>
    <row r="610" ht="14.2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B469-E0A9-4458-9017-5099672466C1}">
  <sheetPr codeName="Sheet4">
    <tabColor theme="4" tint="0.79998168889431442"/>
  </sheetPr>
  <dimension ref="A1:I57"/>
  <sheetViews>
    <sheetView zoomScaleNormal="100" zoomScalePageLayoutView="90" workbookViewId="0">
      <selection activeCell="E8" sqref="E8"/>
    </sheetView>
  </sheetViews>
  <sheetFormatPr baseColWidth="10" defaultColWidth="8.83203125" defaultRowHeight="15"/>
  <cols>
    <col min="1" max="1" width="11.5" customWidth="1"/>
    <col min="3" max="3" width="26.6640625" bestFit="1" customWidth="1"/>
    <col min="4" max="4" width="9.6640625" bestFit="1" customWidth="1"/>
    <col min="5" max="5" width="7.33203125" bestFit="1" customWidth="1"/>
    <col min="6" max="6" width="13.1640625" bestFit="1" customWidth="1"/>
    <col min="9" max="9" width="11.5" bestFit="1" customWidth="1"/>
  </cols>
  <sheetData>
    <row r="1" spans="1:9" ht="21">
      <c r="A1" s="403" t="s">
        <v>9</v>
      </c>
      <c r="D1" s="75"/>
      <c r="E1" s="75"/>
      <c r="F1" s="75"/>
    </row>
    <row r="2" spans="1:9" ht="25" thickBot="1">
      <c r="A2" s="402" t="s">
        <v>193</v>
      </c>
      <c r="B2" s="400"/>
      <c r="C2" s="400"/>
      <c r="D2" s="401"/>
      <c r="E2" s="401"/>
      <c r="F2" s="401"/>
      <c r="G2" s="400"/>
    </row>
    <row r="3" spans="1:9" ht="15.75" customHeight="1">
      <c r="A3" s="398"/>
      <c r="B3" s="399"/>
      <c r="C3" s="399"/>
      <c r="D3" s="1167" t="s">
        <v>294</v>
      </c>
      <c r="E3" s="1168"/>
      <c r="F3" s="1168"/>
      <c r="G3" s="1169" t="s">
        <v>11</v>
      </c>
    </row>
    <row r="4" spans="1:9" ht="16" thickBot="1">
      <c r="A4" s="398"/>
      <c r="B4" s="28"/>
      <c r="C4" s="397" t="s">
        <v>12</v>
      </c>
      <c r="D4" s="1171" t="s">
        <v>293</v>
      </c>
      <c r="E4" s="1172"/>
      <c r="F4" s="1172"/>
      <c r="G4" s="1170"/>
    </row>
    <row r="5" spans="1:9" ht="17" thickTop="1" thickBot="1">
      <c r="A5" s="342"/>
      <c r="B5" s="396"/>
      <c r="C5" s="395"/>
      <c r="D5" s="394"/>
      <c r="E5" s="393"/>
      <c r="F5" s="3"/>
      <c r="G5" s="392"/>
    </row>
    <row r="6" spans="1:9" ht="16" thickTop="1">
      <c r="A6" s="342"/>
      <c r="B6" s="341"/>
      <c r="C6" s="391"/>
      <c r="D6" s="390" t="s">
        <v>13</v>
      </c>
      <c r="E6" s="389" t="s">
        <v>14</v>
      </c>
      <c r="F6" s="4" t="s">
        <v>15</v>
      </c>
      <c r="G6" s="388"/>
    </row>
    <row r="7" spans="1:9" ht="15.75" customHeight="1" thickBot="1">
      <c r="A7" s="1173" t="s">
        <v>16</v>
      </c>
      <c r="B7" s="347"/>
      <c r="C7" s="363" t="s">
        <v>17</v>
      </c>
      <c r="D7" s="387"/>
      <c r="E7" s="386"/>
      <c r="F7" s="5">
        <v>10787951.504660649</v>
      </c>
      <c r="G7" s="385"/>
    </row>
    <row r="8" spans="1:9" ht="15" customHeight="1">
      <c r="A8" s="1173"/>
      <c r="B8" s="1175" t="s">
        <v>18</v>
      </c>
      <c r="C8" s="6" t="s">
        <v>19</v>
      </c>
      <c r="D8" s="384">
        <v>27529.276699999999</v>
      </c>
      <c r="E8" s="362">
        <v>3848.5</v>
      </c>
      <c r="F8" s="358">
        <f>D8*E8</f>
        <v>105946421.37994999</v>
      </c>
      <c r="G8" s="374"/>
    </row>
    <row r="9" spans="1:9">
      <c r="A9" s="1173"/>
      <c r="B9" s="1175"/>
      <c r="C9" s="6" t="s">
        <v>20</v>
      </c>
      <c r="D9" s="384">
        <v>506.61</v>
      </c>
      <c r="E9" s="362">
        <v>5634.56</v>
      </c>
      <c r="F9" s="358">
        <f>D9*E9</f>
        <v>2854524.4416000005</v>
      </c>
      <c r="G9" s="374"/>
    </row>
    <row r="10" spans="1:9">
      <c r="A10" s="1173"/>
      <c r="B10" s="1175"/>
      <c r="C10" s="363" t="s">
        <v>21</v>
      </c>
      <c r="D10" s="384">
        <v>0</v>
      </c>
      <c r="E10" s="362">
        <v>5634.56</v>
      </c>
      <c r="F10" s="358">
        <f>D10*E10</f>
        <v>0</v>
      </c>
      <c r="G10" s="374"/>
    </row>
    <row r="11" spans="1:9" ht="16" thickBot="1">
      <c r="A11" s="1173"/>
      <c r="B11" s="7"/>
      <c r="C11" s="8" t="s">
        <v>22</v>
      </c>
      <c r="D11" s="383">
        <f>SUM(D8:D10)</f>
        <v>28035.886699999999</v>
      </c>
      <c r="E11" s="9"/>
      <c r="F11" s="10">
        <f>SUM(F8:F10)</f>
        <v>108800945.82154998</v>
      </c>
      <c r="G11" s="11"/>
    </row>
    <row r="12" spans="1:9" ht="15" customHeight="1">
      <c r="A12" s="1173"/>
      <c r="B12" s="1175" t="s">
        <v>23</v>
      </c>
      <c r="C12" s="363" t="s">
        <v>24</v>
      </c>
      <c r="D12" s="384">
        <v>3056.45</v>
      </c>
      <c r="E12" s="362">
        <v>3456.62</v>
      </c>
      <c r="F12" s="358">
        <f>D12*E12</f>
        <v>10564986.198999999</v>
      </c>
      <c r="G12" s="374"/>
    </row>
    <row r="13" spans="1:9">
      <c r="A13" s="1173"/>
      <c r="B13" s="1175"/>
      <c r="C13" s="363" t="s">
        <v>25</v>
      </c>
      <c r="D13" s="384">
        <v>2245.4899999999998</v>
      </c>
      <c r="E13" s="362">
        <v>5634.56</v>
      </c>
      <c r="F13" s="358">
        <f>D13*E13</f>
        <v>12652348.134399999</v>
      </c>
      <c r="G13" s="374"/>
      <c r="I13" s="384"/>
    </row>
    <row r="14" spans="1:9">
      <c r="A14" s="1173"/>
      <c r="B14" s="1175"/>
      <c r="C14" s="363" t="s">
        <v>26</v>
      </c>
      <c r="D14" s="384">
        <v>0</v>
      </c>
      <c r="E14" s="362">
        <v>3347.49</v>
      </c>
      <c r="F14" s="358">
        <f>D14*E14</f>
        <v>0</v>
      </c>
      <c r="G14" s="374"/>
    </row>
    <row r="15" spans="1:9" ht="16" thickBot="1">
      <c r="A15" s="1173"/>
      <c r="B15" s="7"/>
      <c r="C15" s="8" t="s">
        <v>22</v>
      </c>
      <c r="D15" s="383">
        <f>SUM(D12:D14)</f>
        <v>5301.94</v>
      </c>
      <c r="E15" s="9"/>
      <c r="F15" s="10">
        <f>SUM(F12:F14)</f>
        <v>23217334.333399996</v>
      </c>
      <c r="G15" s="11"/>
    </row>
    <row r="16" spans="1:9" ht="16" thickBot="1">
      <c r="A16" s="1174"/>
      <c r="B16" s="382"/>
      <c r="C16" s="371" t="s">
        <v>15</v>
      </c>
      <c r="D16" s="381">
        <f>SUM(D11, D15)</f>
        <v>33337.826699999998</v>
      </c>
      <c r="E16" s="371"/>
      <c r="F16" s="12">
        <f>F7+F11+F15</f>
        <v>142806231.65961063</v>
      </c>
      <c r="G16" s="370"/>
      <c r="I16" s="91"/>
    </row>
    <row r="17" spans="1:7">
      <c r="A17" s="380"/>
      <c r="B17" s="368"/>
      <c r="C17" s="367"/>
      <c r="D17" s="379" t="s">
        <v>0</v>
      </c>
      <c r="E17" s="378" t="s">
        <v>14</v>
      </c>
      <c r="F17" s="377"/>
      <c r="G17" s="376"/>
    </row>
    <row r="18" spans="1:7" ht="15" customHeight="1">
      <c r="A18" s="1173" t="s">
        <v>6</v>
      </c>
      <c r="B18" s="347"/>
      <c r="C18" s="375" t="s">
        <v>27</v>
      </c>
      <c r="D18" s="258">
        <v>11728</v>
      </c>
      <c r="E18" s="362">
        <v>948.96</v>
      </c>
      <c r="F18" s="358">
        <f>D18*E18</f>
        <v>11129402.880000001</v>
      </c>
      <c r="G18" s="374"/>
    </row>
    <row r="19" spans="1:7">
      <c r="A19" s="1173"/>
      <c r="B19" s="347"/>
      <c r="C19" s="375" t="s">
        <v>28</v>
      </c>
      <c r="D19" s="258">
        <v>1717</v>
      </c>
      <c r="E19" s="362">
        <v>948.96</v>
      </c>
      <c r="F19" s="358">
        <f>D19*E19</f>
        <v>1629364.32</v>
      </c>
      <c r="G19" s="374"/>
    </row>
    <row r="20" spans="1:7">
      <c r="A20" s="1173"/>
      <c r="B20" s="347"/>
      <c r="C20" s="375" t="s">
        <v>29</v>
      </c>
      <c r="D20" s="258">
        <v>25893</v>
      </c>
      <c r="E20" s="362">
        <v>948.96</v>
      </c>
      <c r="F20" s="358">
        <f>D20*E20</f>
        <v>24571421.280000001</v>
      </c>
      <c r="G20" s="374"/>
    </row>
    <row r="21" spans="1:7" ht="16" thickBot="1">
      <c r="A21" s="1174"/>
      <c r="B21" s="373"/>
      <c r="C21" s="371" t="s">
        <v>15</v>
      </c>
      <c r="D21" s="372">
        <v>39338</v>
      </c>
      <c r="E21" s="371"/>
      <c r="F21" s="12">
        <f>SUM(F18:F20)</f>
        <v>37330188.480000004</v>
      </c>
      <c r="G21" s="370"/>
    </row>
    <row r="22" spans="1:7">
      <c r="A22" s="369"/>
      <c r="B22" s="368"/>
      <c r="C22" s="367"/>
      <c r="D22" s="366" t="s">
        <v>1</v>
      </c>
      <c r="E22" s="365" t="s">
        <v>14</v>
      </c>
      <c r="F22" s="364"/>
      <c r="G22" s="354"/>
    </row>
    <row r="23" spans="1:7" ht="15" customHeight="1">
      <c r="A23" s="1173" t="s">
        <v>7</v>
      </c>
      <c r="B23" s="1176" t="s">
        <v>30</v>
      </c>
      <c r="C23" s="361" t="s">
        <v>31</v>
      </c>
      <c r="D23" s="259">
        <v>2300</v>
      </c>
      <c r="E23" s="360">
        <v>1363.03</v>
      </c>
      <c r="F23" s="358">
        <f t="shared" ref="F23:F30" si="0">D23*E23</f>
        <v>3134969</v>
      </c>
      <c r="G23" s="354"/>
    </row>
    <row r="24" spans="1:7">
      <c r="A24" s="1173"/>
      <c r="B24" s="1176"/>
      <c r="C24" s="361" t="s">
        <v>32</v>
      </c>
      <c r="D24" s="259">
        <v>4</v>
      </c>
      <c r="E24" s="360">
        <v>1363.03</v>
      </c>
      <c r="F24" s="358">
        <f t="shared" si="0"/>
        <v>5452.12</v>
      </c>
      <c r="G24" s="354"/>
    </row>
    <row r="25" spans="1:7">
      <c r="A25" s="1173"/>
      <c r="B25" s="1176"/>
      <c r="C25" s="361" t="s">
        <v>33</v>
      </c>
      <c r="D25" s="259">
        <v>1590</v>
      </c>
      <c r="E25" s="360">
        <v>1817.38</v>
      </c>
      <c r="F25" s="358">
        <f t="shared" si="0"/>
        <v>2889634.2</v>
      </c>
      <c r="G25" s="354"/>
    </row>
    <row r="26" spans="1:7">
      <c r="A26" s="1173"/>
      <c r="B26" s="1176"/>
      <c r="C26" s="361" t="s">
        <v>34</v>
      </c>
      <c r="D26" s="259">
        <v>900</v>
      </c>
      <c r="E26" s="360">
        <v>908.69</v>
      </c>
      <c r="F26" s="358">
        <f t="shared" si="0"/>
        <v>817821</v>
      </c>
      <c r="G26" s="354"/>
    </row>
    <row r="27" spans="1:7">
      <c r="A27" s="1173"/>
      <c r="B27" s="1176"/>
      <c r="C27" s="361" t="s">
        <v>35</v>
      </c>
      <c r="D27" s="259">
        <v>4770</v>
      </c>
      <c r="E27" s="360">
        <v>454.34</v>
      </c>
      <c r="F27" s="358">
        <f t="shared" si="0"/>
        <v>2167201.7999999998</v>
      </c>
      <c r="G27" s="354"/>
    </row>
    <row r="28" spans="1:7">
      <c r="A28" s="1173"/>
      <c r="B28" s="1176"/>
      <c r="C28" s="361" t="s">
        <v>36</v>
      </c>
      <c r="D28" s="259">
        <v>3201</v>
      </c>
      <c r="E28" s="360">
        <v>681.52</v>
      </c>
      <c r="F28" s="358">
        <f t="shared" si="0"/>
        <v>2181545.52</v>
      </c>
      <c r="G28" s="354"/>
    </row>
    <row r="29" spans="1:7">
      <c r="A29" s="1173"/>
      <c r="B29" s="1176"/>
      <c r="C29" s="361" t="s">
        <v>37</v>
      </c>
      <c r="D29" s="259">
        <v>774</v>
      </c>
      <c r="E29" s="360">
        <v>908.69</v>
      </c>
      <c r="F29" s="358">
        <f t="shared" si="0"/>
        <v>703326.06</v>
      </c>
      <c r="G29" s="354"/>
    </row>
    <row r="30" spans="1:7">
      <c r="A30" s="1173"/>
      <c r="B30" s="1176"/>
      <c r="C30" s="361" t="s">
        <v>38</v>
      </c>
      <c r="D30" s="259">
        <v>3417</v>
      </c>
      <c r="E30" s="360">
        <v>454.34</v>
      </c>
      <c r="F30" s="358">
        <f t="shared" si="0"/>
        <v>1552479.78</v>
      </c>
      <c r="G30" s="354"/>
    </row>
    <row r="31" spans="1:7" ht="16" thickBot="1">
      <c r="A31" s="1173"/>
      <c r="B31" s="1177"/>
      <c r="C31" s="13" t="s">
        <v>22</v>
      </c>
      <c r="D31" s="14">
        <f>SUM(D23:D30)</f>
        <v>16956</v>
      </c>
      <c r="E31" s="13"/>
      <c r="F31" s="10">
        <f>SUM(F23:F30)</f>
        <v>13452429.48</v>
      </c>
      <c r="G31" s="15"/>
    </row>
    <row r="32" spans="1:7" ht="15" customHeight="1">
      <c r="A32" s="1173"/>
      <c r="B32" s="1178" t="s">
        <v>39</v>
      </c>
      <c r="C32" s="363" t="s">
        <v>31</v>
      </c>
      <c r="D32" s="258">
        <v>1243</v>
      </c>
      <c r="E32" s="362">
        <v>515.78</v>
      </c>
      <c r="F32" s="358">
        <f t="shared" ref="F32:F39" si="1">D32*E32</f>
        <v>641114.53999999992</v>
      </c>
      <c r="G32" s="354"/>
    </row>
    <row r="33" spans="1:7">
      <c r="A33" s="1173"/>
      <c r="B33" s="1179"/>
      <c r="C33" s="361" t="s">
        <v>32</v>
      </c>
      <c r="D33" s="258">
        <v>1</v>
      </c>
      <c r="E33" s="362">
        <v>515.78</v>
      </c>
      <c r="F33" s="358">
        <f t="shared" si="1"/>
        <v>515.78</v>
      </c>
      <c r="G33" s="354"/>
    </row>
    <row r="34" spans="1:7">
      <c r="A34" s="1173"/>
      <c r="B34" s="1179"/>
      <c r="C34" s="363" t="s">
        <v>33</v>
      </c>
      <c r="D34" s="258">
        <v>854</v>
      </c>
      <c r="E34" s="362">
        <v>687.71</v>
      </c>
      <c r="F34" s="358">
        <f t="shared" si="1"/>
        <v>587304.34000000008</v>
      </c>
      <c r="G34" s="354"/>
    </row>
    <row r="35" spans="1:7">
      <c r="A35" s="1173"/>
      <c r="B35" s="1179"/>
      <c r="C35" s="363" t="s">
        <v>34</v>
      </c>
      <c r="D35" s="258">
        <v>434</v>
      </c>
      <c r="E35" s="362">
        <v>343.86</v>
      </c>
      <c r="F35" s="358">
        <f t="shared" si="1"/>
        <v>149235.24000000002</v>
      </c>
      <c r="G35" s="354"/>
    </row>
    <row r="36" spans="1:7">
      <c r="A36" s="1173"/>
      <c r="B36" s="1179"/>
      <c r="C36" s="363" t="s">
        <v>35</v>
      </c>
      <c r="D36" s="258">
        <v>2072</v>
      </c>
      <c r="E36" s="362">
        <v>171.93</v>
      </c>
      <c r="F36" s="358">
        <f t="shared" si="1"/>
        <v>356238.96</v>
      </c>
      <c r="G36" s="354"/>
    </row>
    <row r="37" spans="1:7">
      <c r="A37" s="1173"/>
      <c r="B37" s="1179"/>
      <c r="C37" s="363" t="s">
        <v>36</v>
      </c>
      <c r="D37" s="258">
        <v>1346.1328607363366</v>
      </c>
      <c r="E37" s="362">
        <v>257.89</v>
      </c>
      <c r="F37" s="358">
        <f t="shared" si="1"/>
        <v>347154.20345529384</v>
      </c>
      <c r="G37" s="354"/>
    </row>
    <row r="38" spans="1:7">
      <c r="A38" s="1173"/>
      <c r="B38" s="1179"/>
      <c r="C38" s="363" t="s">
        <v>37</v>
      </c>
      <c r="D38" s="258">
        <v>268</v>
      </c>
      <c r="E38" s="362">
        <v>343.86</v>
      </c>
      <c r="F38" s="358">
        <f t="shared" si="1"/>
        <v>92154.48000000001</v>
      </c>
      <c r="G38" s="354"/>
    </row>
    <row r="39" spans="1:7">
      <c r="A39" s="1173"/>
      <c r="B39" s="1179"/>
      <c r="C39" s="363" t="s">
        <v>38</v>
      </c>
      <c r="D39" s="258">
        <v>705</v>
      </c>
      <c r="E39" s="362">
        <v>171.93</v>
      </c>
      <c r="F39" s="358">
        <f t="shared" si="1"/>
        <v>121210.65000000001</v>
      </c>
      <c r="G39" s="354"/>
    </row>
    <row r="40" spans="1:7" ht="16" thickBot="1">
      <c r="A40" s="1173"/>
      <c r="B40" s="1180"/>
      <c r="C40" s="13" t="s">
        <v>22</v>
      </c>
      <c r="D40" s="14">
        <f>SUM(D32:D39)</f>
        <v>6923.1328607363366</v>
      </c>
      <c r="E40" s="13"/>
      <c r="F40" s="10">
        <f>SUM(F32:F39)</f>
        <v>2294928.1934552938</v>
      </c>
      <c r="G40" s="15"/>
    </row>
    <row r="41" spans="1:7" ht="15" customHeight="1">
      <c r="A41" s="1173"/>
      <c r="B41" s="1178" t="s">
        <v>40</v>
      </c>
      <c r="C41" s="361" t="s">
        <v>31</v>
      </c>
      <c r="D41" s="259">
        <v>1765</v>
      </c>
      <c r="E41" s="360">
        <v>343.86</v>
      </c>
      <c r="F41" s="358">
        <f t="shared" ref="F41:F48" si="2">D41*E41</f>
        <v>606912.9</v>
      </c>
      <c r="G41" s="354"/>
    </row>
    <row r="42" spans="1:7">
      <c r="A42" s="1173"/>
      <c r="B42" s="1179"/>
      <c r="C42" s="361" t="s">
        <v>32</v>
      </c>
      <c r="D42" s="259">
        <v>3</v>
      </c>
      <c r="E42" s="360">
        <v>343.86</v>
      </c>
      <c r="F42" s="358">
        <f t="shared" si="2"/>
        <v>1031.58</v>
      </c>
      <c r="G42" s="354"/>
    </row>
    <row r="43" spans="1:7">
      <c r="A43" s="1173"/>
      <c r="B43" s="1179"/>
      <c r="C43" s="361" t="s">
        <v>33</v>
      </c>
      <c r="D43" s="259">
        <v>1214</v>
      </c>
      <c r="E43" s="360">
        <v>458.47</v>
      </c>
      <c r="F43" s="358">
        <f t="shared" si="2"/>
        <v>556582.58000000007</v>
      </c>
      <c r="G43" s="354"/>
    </row>
    <row r="44" spans="1:7">
      <c r="A44" s="1173"/>
      <c r="B44" s="1179"/>
      <c r="C44" s="361" t="s">
        <v>34</v>
      </c>
      <c r="D44" s="259">
        <v>653</v>
      </c>
      <c r="E44" s="360">
        <v>229.24</v>
      </c>
      <c r="F44" s="358">
        <f t="shared" si="2"/>
        <v>149693.72</v>
      </c>
      <c r="G44" s="354"/>
    </row>
    <row r="45" spans="1:7">
      <c r="A45" s="1173"/>
      <c r="B45" s="1179"/>
      <c r="C45" s="361" t="s">
        <v>35</v>
      </c>
      <c r="D45" s="259">
        <v>3327</v>
      </c>
      <c r="E45" s="360">
        <v>114.62</v>
      </c>
      <c r="F45" s="358">
        <f t="shared" si="2"/>
        <v>381340.74</v>
      </c>
      <c r="G45" s="354"/>
    </row>
    <row r="46" spans="1:7">
      <c r="A46" s="1173"/>
      <c r="B46" s="1179"/>
      <c r="C46" s="361" t="s">
        <v>36</v>
      </c>
      <c r="D46" s="259">
        <v>2129.3640521381203</v>
      </c>
      <c r="E46" s="360">
        <v>171.93</v>
      </c>
      <c r="F46" s="358">
        <f t="shared" si="2"/>
        <v>366101.56148410705</v>
      </c>
      <c r="G46" s="354"/>
    </row>
    <row r="47" spans="1:7">
      <c r="A47" s="1173"/>
      <c r="B47" s="1179"/>
      <c r="C47" s="361" t="s">
        <v>37</v>
      </c>
      <c r="D47" s="259">
        <v>415</v>
      </c>
      <c r="E47" s="360">
        <v>229.24</v>
      </c>
      <c r="F47" s="358">
        <f t="shared" si="2"/>
        <v>95134.6</v>
      </c>
      <c r="G47" s="354"/>
    </row>
    <row r="48" spans="1:7">
      <c r="A48" s="1173"/>
      <c r="B48" s="1179"/>
      <c r="C48" s="361" t="s">
        <v>38</v>
      </c>
      <c r="D48" s="259">
        <v>1490</v>
      </c>
      <c r="E48" s="360">
        <v>114.62</v>
      </c>
      <c r="F48" s="358">
        <f t="shared" si="2"/>
        <v>170783.80000000002</v>
      </c>
      <c r="G48" s="354"/>
    </row>
    <row r="49" spans="1:7" ht="16" thickBot="1">
      <c r="A49" s="1173"/>
      <c r="B49" s="1180"/>
      <c r="C49" s="16" t="s">
        <v>22</v>
      </c>
      <c r="D49" s="14">
        <f>SUM(D41:D48)</f>
        <v>10996.36405213812</v>
      </c>
      <c r="E49" s="16"/>
      <c r="F49" s="359">
        <f>SUM(F41:F48)</f>
        <v>2327581.4814841067</v>
      </c>
      <c r="G49" s="15"/>
    </row>
    <row r="50" spans="1:7" ht="16" thickBot="1">
      <c r="A50" s="1173"/>
      <c r="C50" s="355" t="s">
        <v>41</v>
      </c>
      <c r="D50" s="356">
        <f>D31+D40+D49</f>
        <v>34875.496912874456</v>
      </c>
      <c r="E50" s="355"/>
      <c r="F50" s="358">
        <f>F49+F40+F31</f>
        <v>18074939.154939402</v>
      </c>
      <c r="G50" s="357"/>
    </row>
    <row r="51" spans="1:7" ht="15" customHeight="1">
      <c r="A51" s="1173"/>
      <c r="B51" s="1178" t="s">
        <v>42</v>
      </c>
      <c r="C51" s="355" t="s">
        <v>43</v>
      </c>
      <c r="D51" s="356"/>
      <c r="E51" s="355"/>
      <c r="F51" s="353"/>
      <c r="G51" s="354"/>
    </row>
    <row r="52" spans="1:7">
      <c r="A52" s="1173"/>
      <c r="B52" s="1179"/>
      <c r="C52" s="355" t="s">
        <v>44</v>
      </c>
      <c r="D52" s="356"/>
      <c r="E52" s="355" t="s">
        <v>45</v>
      </c>
      <c r="F52" s="353"/>
      <c r="G52" s="354"/>
    </row>
    <row r="53" spans="1:7" ht="16" thickBot="1">
      <c r="A53" s="1173"/>
      <c r="B53" s="1180"/>
      <c r="C53" s="16" t="s">
        <v>46</v>
      </c>
      <c r="D53" s="17"/>
      <c r="E53" s="16"/>
      <c r="F53" s="353"/>
      <c r="G53" s="15"/>
    </row>
    <row r="54" spans="1:7" ht="16" thickBot="1">
      <c r="A54" s="1174"/>
      <c r="B54" s="352"/>
      <c r="C54" s="350" t="s">
        <v>15</v>
      </c>
      <c r="D54" s="351"/>
      <c r="E54" s="350"/>
      <c r="F54" s="12">
        <f>F50-F51+F52</f>
        <v>18074939.154939402</v>
      </c>
      <c r="G54" s="349"/>
    </row>
    <row r="55" spans="1:7">
      <c r="A55" s="348"/>
      <c r="B55" s="347"/>
      <c r="C55" s="346" t="s">
        <v>47</v>
      </c>
      <c r="D55" s="18"/>
      <c r="E55" s="346"/>
      <c r="F55" s="345">
        <f>F54+F21+F16</f>
        <v>198211359.29455003</v>
      </c>
      <c r="G55" s="344"/>
    </row>
    <row r="56" spans="1:7">
      <c r="A56" s="342"/>
      <c r="B56" s="341"/>
      <c r="C56" s="340" t="s">
        <v>48</v>
      </c>
      <c r="D56" s="19"/>
      <c r="E56" s="20"/>
      <c r="F56" s="21">
        <v>15400588.46724996</v>
      </c>
      <c r="G56" s="343"/>
    </row>
    <row r="57" spans="1:7">
      <c r="A57" s="342"/>
      <c r="B57" s="341"/>
      <c r="C57" s="340" t="s">
        <v>49</v>
      </c>
      <c r="D57" s="22"/>
      <c r="E57" s="339"/>
      <c r="F57" s="339">
        <f>F55+F56</f>
        <v>213611947.76179999</v>
      </c>
      <c r="G57" s="338"/>
    </row>
  </sheetData>
  <mergeCells count="12">
    <mergeCell ref="A18:A21"/>
    <mergeCell ref="A23:A54"/>
    <mergeCell ref="B23:B31"/>
    <mergeCell ref="B32:B40"/>
    <mergeCell ref="B41:B49"/>
    <mergeCell ref="B51:B53"/>
    <mergeCell ref="D3:F3"/>
    <mergeCell ref="G3:G4"/>
    <mergeCell ref="D4:F4"/>
    <mergeCell ref="A7:A16"/>
    <mergeCell ref="B8:B10"/>
    <mergeCell ref="B12:B14"/>
  </mergeCells>
  <pageMargins left="0.25" right="0.25" top="0.75" bottom="0.75" header="0.3" footer="0.3"/>
  <pageSetup scale="76" fitToHeight="0" orientation="portrait" r:id="rId1"/>
  <headerFooter>
    <oddFooter>&amp;R&amp;12 5</oddFooter>
  </headerFooter>
  <ignoredErrors>
    <ignoredError sqref="F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EBE46BD609CC478BA614BCF681B0B5" ma:contentTypeVersion="" ma:contentTypeDescription="Create a new document." ma:contentTypeScope="" ma:versionID="0dbb57d0d86efe7cecd8f75b1640a8fb">
  <xsd:schema xmlns:xsd="http://www.w3.org/2001/XMLSchema" xmlns:xs="http://www.w3.org/2001/XMLSchema" xmlns:p="http://schemas.microsoft.com/office/2006/metadata/properties" xmlns:ns2="f97379e5-d140-4eee-9a39-2e432def2776" xmlns:ns3="454fd486-4e42-4a7f-bc2f-e2145d19cd8b" targetNamespace="http://schemas.microsoft.com/office/2006/metadata/properties" ma:root="true" ma:fieldsID="bc376911bb757523b1731e81894b7fe5" ns2:_="" ns3:_="">
    <xsd:import namespace="f97379e5-d140-4eee-9a39-2e432def2776"/>
    <xsd:import namespace="454fd486-4e42-4a7f-bc2f-e2145d19cd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379e5-d140-4eee-9a39-2e432def2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fd486-4e42-4a7f-bc2f-e2145d19cd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FBADD1-3584-48D1-B450-0F4CF33F57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7AEE95-1A0B-41A3-AD99-9287EACF7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379e5-d140-4eee-9a39-2e432def2776"/>
    <ds:schemaRef ds:uri="454fd486-4e42-4a7f-bc2f-e2145d19cd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6E67B9-7201-4B57-8A19-7FCFC8CDC8D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AllocationModel_NO</vt:lpstr>
      <vt:lpstr>3. Unrestricted Revenue</vt:lpstr>
      <vt:lpstr>2. SCFF College Data </vt:lpstr>
      <vt:lpstr>4. Expenditures</vt:lpstr>
      <vt:lpstr>AllocationModel_C</vt:lpstr>
      <vt:lpstr>AllocationModel_RS</vt:lpstr>
      <vt:lpstr>DistrictwideExp</vt:lpstr>
      <vt:lpstr>DistrictOfficeExp</vt:lpstr>
      <vt:lpstr>SCFF Calculator (District Data)</vt:lpstr>
      <vt:lpstr>District Expenses</vt:lpstr>
      <vt:lpstr>SCFF College Data</vt:lpstr>
      <vt:lpstr>FTES &amp; Headcount Data</vt:lpstr>
      <vt:lpstr>'2. SCFF College Data '!Print_Area</vt:lpstr>
      <vt:lpstr>'3. Unrestricted Revenue'!Print_Area</vt:lpstr>
      <vt:lpstr>'4. Expenditures'!Print_Area</vt:lpstr>
      <vt:lpstr>AllocationModel_NO!Print_Area</vt:lpstr>
      <vt:lpstr>'SCFF Calculator (District Data)'!Print_Area</vt:lpstr>
      <vt:lpstr>'SCFF College Data'!Print_Area</vt:lpstr>
      <vt:lpstr>'4. Expenditures'!Restricted_Local_Total</vt:lpstr>
      <vt:lpstr>'4. Expenditures'!Restricted_Total</vt:lpstr>
      <vt:lpstr>Unrestricted_Local_Total</vt:lpstr>
      <vt:lpstr>Unrestricted_Other_Total</vt:lpstr>
      <vt:lpstr>Unrestricted_State_Total</vt:lpstr>
      <vt:lpstr>Unrestricted_Total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Nick Strobel</cp:lastModifiedBy>
  <cp:lastPrinted>2019-08-13T18:29:15Z</cp:lastPrinted>
  <dcterms:created xsi:type="dcterms:W3CDTF">2019-01-22T21:09:09Z</dcterms:created>
  <dcterms:modified xsi:type="dcterms:W3CDTF">2019-10-25T17:13:46Z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0x0101004CEBE46BD609CC478BA614BCF681B0B5</vt:lpwstr>
  </property>
</Properties>
</file>