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/>
  <bookViews>
    <workbookView xWindow="9348" yWindow="-48" windowWidth="8376" windowHeight="11028" tabRatio="551" activeTab="2"/>
  </bookViews>
  <sheets>
    <sheet name="Summary of Key Premisis" sheetId="88" r:id="rId1"/>
    <sheet name="Summary GU001" sheetId="82" r:id="rId2"/>
    <sheet name="BC" sheetId="84" r:id="rId3"/>
    <sheet name="CCC" sheetId="85" r:id="rId4"/>
    <sheet name="PC" sheetId="86" r:id="rId5"/>
    <sheet name="DO" sheetId="87" r:id="rId6"/>
    <sheet name="Revenue Projections" sheetId="83" r:id="rId7"/>
    <sheet name="Sheet1" sheetId="89" r:id="rId8"/>
  </sheets>
  <externalReferences>
    <externalReference r:id="rId9"/>
    <externalReference r:id="rId10"/>
    <externalReference r:id="rId11"/>
  </externalReferences>
  <calcPr calcId="145621"/>
</workbook>
</file>

<file path=xl/calcChain.xml><?xml version="1.0" encoding="utf-8"?>
<calcChain xmlns="http://schemas.openxmlformats.org/spreadsheetml/2006/main">
  <c r="I23" i="84" l="1"/>
  <c r="D23" i="84"/>
  <c r="B23" i="84"/>
  <c r="B30" i="84"/>
  <c r="B22" i="84"/>
  <c r="I21" i="84"/>
  <c r="I20" i="84"/>
  <c r="I19" i="84"/>
  <c r="I22" i="84"/>
  <c r="I18" i="84"/>
  <c r="H30" i="84"/>
  <c r="C30" i="84"/>
  <c r="D22" i="84"/>
  <c r="D21" i="84"/>
  <c r="D20" i="84"/>
  <c r="D19" i="84"/>
  <c r="D18" i="84"/>
  <c r="B20" i="84"/>
  <c r="B18" i="84"/>
  <c r="B19" i="84"/>
  <c r="D30" i="84" l="1"/>
  <c r="I30" i="84"/>
  <c r="F16" i="88" l="1"/>
  <c r="B21" i="84"/>
  <c r="G39" i="84" l="1"/>
  <c r="D39" i="84" l="1"/>
  <c r="G48" i="84" l="1"/>
  <c r="N18" i="84" l="1"/>
  <c r="K22" i="84" l="1"/>
  <c r="L22" i="84" l="1"/>
  <c r="H19" i="84"/>
  <c r="H18" i="84"/>
  <c r="H15" i="84" l="1"/>
  <c r="C20" i="84"/>
  <c r="L18" i="84" l="1"/>
  <c r="K18" i="84"/>
  <c r="H20" i="84"/>
  <c r="D26" i="84"/>
  <c r="F26" i="84" s="1"/>
  <c r="D24" i="84"/>
  <c r="F24" i="84" s="1"/>
  <c r="I13" i="84"/>
  <c r="C11" i="83"/>
  <c r="D11" i="83" s="1"/>
  <c r="F19" i="84" l="1"/>
  <c r="K19" i="84"/>
  <c r="I24" i="84"/>
  <c r="G24" i="84"/>
  <c r="I26" i="84"/>
  <c r="G26" i="84"/>
  <c r="G19" i="84"/>
  <c r="L19" i="84"/>
  <c r="E66" i="82"/>
  <c r="M19" i="84"/>
  <c r="B48" i="84"/>
  <c r="L26" i="84" l="1"/>
  <c r="K26" i="84"/>
  <c r="L24" i="84"/>
  <c r="K24" i="84"/>
  <c r="L20" i="84"/>
  <c r="K20" i="84"/>
  <c r="D29" i="85"/>
  <c r="E28" i="86"/>
  <c r="D28" i="86"/>
  <c r="C29" i="85"/>
  <c r="L28" i="84" l="1"/>
  <c r="K28" i="84"/>
  <c r="G28" i="84"/>
  <c r="F28" i="84"/>
  <c r="M28" i="84"/>
  <c r="B20" i="82"/>
  <c r="C20" i="82"/>
  <c r="D20" i="82"/>
  <c r="B25" i="82"/>
  <c r="B26" i="82"/>
  <c r="B27" i="82"/>
  <c r="B28" i="82"/>
  <c r="B29" i="82"/>
  <c r="B30" i="82"/>
  <c r="A29" i="82"/>
  <c r="C12" i="82"/>
  <c r="D12" i="82"/>
  <c r="B12" i="82"/>
  <c r="C8" i="86"/>
  <c r="B8" i="85"/>
  <c r="B8" i="82" l="1"/>
  <c r="F20" i="82"/>
  <c r="B16" i="87"/>
  <c r="C13" i="83" l="1"/>
  <c r="D13" i="83" s="1"/>
  <c r="C12" i="83"/>
  <c r="D12" i="83" s="1"/>
  <c r="D6" i="83"/>
  <c r="C7" i="83"/>
  <c r="D7" i="83" s="1"/>
  <c r="C8" i="83"/>
  <c r="D8" i="83" s="1"/>
  <c r="C6" i="83"/>
  <c r="C28" i="87"/>
  <c r="D28" i="87" s="1"/>
  <c r="C30" i="87"/>
  <c r="D30" i="87" s="1"/>
  <c r="D25" i="87"/>
  <c r="C26" i="87"/>
  <c r="C27" i="87"/>
  <c r="C25" i="87"/>
  <c r="D44" i="87"/>
  <c r="C44" i="87"/>
  <c r="D43" i="87"/>
  <c r="C43" i="87"/>
  <c r="C24" i="87" s="1"/>
  <c r="D21" i="87"/>
  <c r="C21" i="87"/>
  <c r="C20" i="87"/>
  <c r="D20" i="87" s="1"/>
  <c r="B31" i="87"/>
  <c r="C16" i="87"/>
  <c r="B33" i="87"/>
  <c r="B35" i="87" s="1"/>
  <c r="D16" i="87"/>
  <c r="E1" i="87"/>
  <c r="D11" i="86"/>
  <c r="E11" i="86"/>
  <c r="D13" i="86"/>
  <c r="E13" i="86"/>
  <c r="C14" i="86"/>
  <c r="C13" i="86"/>
  <c r="C11" i="86"/>
  <c r="C11" i="85"/>
  <c r="D11" i="85"/>
  <c r="C13" i="85"/>
  <c r="D13" i="85"/>
  <c r="C14" i="85"/>
  <c r="B14" i="85"/>
  <c r="B13" i="85"/>
  <c r="B11" i="85"/>
  <c r="B11" i="82" s="1"/>
  <c r="F50" i="86"/>
  <c r="E50" i="86"/>
  <c r="D50" i="86"/>
  <c r="C50" i="86"/>
  <c r="F49" i="86"/>
  <c r="E49" i="86"/>
  <c r="D49" i="86"/>
  <c r="C49" i="86"/>
  <c r="F47" i="86"/>
  <c r="E47" i="86"/>
  <c r="D47" i="86"/>
  <c r="C47" i="86"/>
  <c r="D43" i="86"/>
  <c r="E39" i="86"/>
  <c r="D39" i="86"/>
  <c r="I37" i="86"/>
  <c r="J36" i="86" s="1"/>
  <c r="C30" i="86"/>
  <c r="B29" i="86"/>
  <c r="B30" i="86" s="1"/>
  <c r="D26" i="86"/>
  <c r="E26" i="86" s="1"/>
  <c r="D25" i="86"/>
  <c r="E25" i="86" s="1"/>
  <c r="E23" i="86"/>
  <c r="D23" i="86"/>
  <c r="B15" i="86"/>
  <c r="B32" i="86" s="1"/>
  <c r="B34" i="86" s="1"/>
  <c r="F1" i="86"/>
  <c r="D11" i="82" l="1"/>
  <c r="F11" i="82" s="1"/>
  <c r="C11" i="82"/>
  <c r="D24" i="87"/>
  <c r="D26" i="87"/>
  <c r="D27" i="87"/>
  <c r="C15" i="86"/>
  <c r="C32" i="86" s="1"/>
  <c r="D14" i="86"/>
  <c r="D15" i="86" s="1"/>
  <c r="J35" i="86"/>
  <c r="J34" i="86"/>
  <c r="D31" i="87"/>
  <c r="C31" i="87"/>
  <c r="D33" i="87"/>
  <c r="D35" i="87" s="1"/>
  <c r="E30" i="86" l="1"/>
  <c r="D29" i="82"/>
  <c r="C33" i="87"/>
  <c r="C35" i="87" s="1"/>
  <c r="D30" i="86"/>
  <c r="C29" i="82"/>
  <c r="C34" i="86"/>
  <c r="D8" i="86"/>
  <c r="D40" i="85"/>
  <c r="C40" i="85"/>
  <c r="D24" i="85"/>
  <c r="C24" i="85"/>
  <c r="B24" i="85"/>
  <c r="D23" i="85"/>
  <c r="C23" i="85"/>
  <c r="B23" i="85"/>
  <c r="D22" i="85"/>
  <c r="C22" i="85"/>
  <c r="B22" i="85"/>
  <c r="D21" i="85"/>
  <c r="C21" i="85"/>
  <c r="B21" i="85"/>
  <c r="D20" i="85"/>
  <c r="C20" i="85"/>
  <c r="B20" i="85"/>
  <c r="D19" i="85"/>
  <c r="D31" i="85" s="1"/>
  <c r="C19" i="85"/>
  <c r="C31" i="85" s="1"/>
  <c r="B19" i="85"/>
  <c r="B31" i="85" s="1"/>
  <c r="C16" i="85"/>
  <c r="B16" i="85"/>
  <c r="B33" i="85" s="1"/>
  <c r="D15" i="85"/>
  <c r="E1" i="85"/>
  <c r="B35" i="85" l="1"/>
  <c r="C8" i="85"/>
  <c r="C33" i="85" s="1"/>
  <c r="D32" i="86"/>
  <c r="E8" i="86" s="1"/>
  <c r="D14" i="84"/>
  <c r="B14" i="84"/>
  <c r="B14" i="82" s="1"/>
  <c r="D13" i="84"/>
  <c r="K13" i="84" s="1"/>
  <c r="D13" i="82"/>
  <c r="B13" i="84"/>
  <c r="B13" i="82" s="1"/>
  <c r="G44" i="84"/>
  <c r="D44" i="84"/>
  <c r="D48" i="84" s="1"/>
  <c r="D29" i="84"/>
  <c r="D27" i="84"/>
  <c r="D25" i="84"/>
  <c r="B24" i="82"/>
  <c r="C23" i="82"/>
  <c r="F22" i="84"/>
  <c r="F21" i="84"/>
  <c r="B22" i="82"/>
  <c r="C21" i="82"/>
  <c r="F20" i="84"/>
  <c r="C19" i="82"/>
  <c r="I1" i="84"/>
  <c r="D14" i="85"/>
  <c r="D16" i="85" s="1"/>
  <c r="E14" i="86"/>
  <c r="E15" i="86" s="1"/>
  <c r="I14" i="84"/>
  <c r="G18" i="84" l="1"/>
  <c r="F18" i="84"/>
  <c r="F23" i="84"/>
  <c r="F30" i="84" s="1"/>
  <c r="K23" i="84"/>
  <c r="K14" i="84"/>
  <c r="G25" i="84"/>
  <c r="F25" i="84"/>
  <c r="G29" i="84"/>
  <c r="F29" i="84"/>
  <c r="G27" i="84"/>
  <c r="F27" i="84"/>
  <c r="K21" i="84"/>
  <c r="K30" i="84" s="1"/>
  <c r="C22" i="82"/>
  <c r="G21" i="84"/>
  <c r="B23" i="82"/>
  <c r="G22" i="84"/>
  <c r="B21" i="82"/>
  <c r="G20" i="84"/>
  <c r="C24" i="82"/>
  <c r="G23" i="84"/>
  <c r="L23" i="84"/>
  <c r="F13" i="84"/>
  <c r="L21" i="84"/>
  <c r="F14" i="84"/>
  <c r="D14" i="82"/>
  <c r="F14" i="82" s="1"/>
  <c r="L14" i="84"/>
  <c r="C13" i="82"/>
  <c r="G13" i="84"/>
  <c r="L13" i="84"/>
  <c r="C14" i="82"/>
  <c r="G14" i="84"/>
  <c r="B19" i="82"/>
  <c r="D34" i="86"/>
  <c r="F13" i="82"/>
  <c r="M20" i="84"/>
  <c r="D21" i="82"/>
  <c r="M22" i="84"/>
  <c r="D23" i="82"/>
  <c r="C25" i="82"/>
  <c r="C27" i="82"/>
  <c r="I29" i="84"/>
  <c r="C30" i="82"/>
  <c r="M18" i="84"/>
  <c r="D19" i="82"/>
  <c r="M21" i="84"/>
  <c r="D22" i="82"/>
  <c r="F22" i="82" s="1"/>
  <c r="M23" i="84"/>
  <c r="D24" i="82"/>
  <c r="F24" i="82" s="1"/>
  <c r="I25" i="84"/>
  <c r="K25" i="84" s="1"/>
  <c r="C26" i="82"/>
  <c r="I27" i="84"/>
  <c r="C28" i="82"/>
  <c r="E32" i="86"/>
  <c r="E34" i="86" s="1"/>
  <c r="C35" i="85"/>
  <c r="D8" i="85"/>
  <c r="D33" i="85" s="1"/>
  <c r="D35" i="85" s="1"/>
  <c r="D15" i="84"/>
  <c r="I15" i="84"/>
  <c r="K15" i="84" s="1"/>
  <c r="B15" i="84"/>
  <c r="C16" i="82" l="1"/>
  <c r="L27" i="84"/>
  <c r="K27" i="84"/>
  <c r="L29" i="84"/>
  <c r="K29" i="84"/>
  <c r="G30" i="84"/>
  <c r="L15" i="84"/>
  <c r="F21" i="82"/>
  <c r="F15" i="84"/>
  <c r="L25" i="84"/>
  <c r="F23" i="82"/>
  <c r="G15" i="84"/>
  <c r="C31" i="82"/>
  <c r="C66" i="82" s="1"/>
  <c r="F19" i="82"/>
  <c r="M15" i="84"/>
  <c r="M27" i="84"/>
  <c r="D28" i="82"/>
  <c r="F28" i="82" s="1"/>
  <c r="M25" i="84"/>
  <c r="D26" i="82"/>
  <c r="F26" i="82" s="1"/>
  <c r="M29" i="84"/>
  <c r="D30" i="82"/>
  <c r="F30" i="82" s="1"/>
  <c r="M26" i="84"/>
  <c r="D27" i="82"/>
  <c r="F27" i="82" s="1"/>
  <c r="M24" i="84"/>
  <c r="D25" i="82"/>
  <c r="B32" i="84"/>
  <c r="L30" i="84" l="1"/>
  <c r="M30" i="84"/>
  <c r="F25" i="82"/>
  <c r="D31" i="82"/>
  <c r="D66" i="82" s="1"/>
  <c r="B34" i="84"/>
  <c r="D8" i="84"/>
  <c r="D32" i="84" s="1"/>
  <c r="I8" i="84" s="1"/>
  <c r="B16" i="82"/>
  <c r="I32" i="84" l="1"/>
  <c r="D34" i="84"/>
  <c r="D15" i="82"/>
  <c r="E1" i="82"/>
  <c r="D16" i="82" l="1"/>
  <c r="F16" i="82" s="1"/>
  <c r="F15" i="82"/>
  <c r="I34" i="84"/>
  <c r="B31" i="82" l="1"/>
  <c r="B66" i="82" s="1"/>
  <c r="B33" i="82" l="1"/>
  <c r="C8" i="82" s="1"/>
  <c r="C33" i="82" s="1"/>
  <c r="C35" i="82" s="1"/>
  <c r="F31" i="82"/>
  <c r="D8" i="82" l="1"/>
  <c r="D33" i="82" s="1"/>
  <c r="D35" i="82" s="1"/>
  <c r="B35" i="82"/>
</calcChain>
</file>

<file path=xl/comments1.xml><?xml version="1.0" encoding="utf-8"?>
<comments xmlns="http://schemas.openxmlformats.org/spreadsheetml/2006/main">
  <authors>
    <author>Arlitha Williams-Harmon</author>
  </authors>
  <commentList>
    <comment ref="D39" authorId="0">
      <text>
        <r>
          <rPr>
            <b/>
            <sz val="9"/>
            <color indexed="81"/>
            <rFont val="Tahoma"/>
            <family val="2"/>
          </rPr>
          <t>Arlitha Williams-Harmon:</t>
        </r>
        <r>
          <rPr>
            <sz val="9"/>
            <color indexed="81"/>
            <rFont val="Tahoma"/>
            <family val="2"/>
          </rPr>
          <t xml:space="preserve">
Class 3 Step 7</t>
        </r>
      </text>
    </comment>
  </commentList>
</comments>
</file>

<file path=xl/sharedStrings.xml><?xml version="1.0" encoding="utf-8"?>
<sst xmlns="http://schemas.openxmlformats.org/spreadsheetml/2006/main" count="294" uniqueCount="95">
  <si>
    <t>Beginning Balance</t>
  </si>
  <si>
    <t>Description</t>
  </si>
  <si>
    <t>Revenues</t>
  </si>
  <si>
    <t>Expenditures</t>
  </si>
  <si>
    <t>Other Outgo</t>
  </si>
  <si>
    <t>Ending Balance (Reserves)</t>
  </si>
  <si>
    <t>Total Expenditures and Other Outgo</t>
  </si>
  <si>
    <t>Supplies &amp; Materials</t>
  </si>
  <si>
    <t>Service/Utilities/Operating Exps.</t>
  </si>
  <si>
    <t>Capital Outlay</t>
  </si>
  <si>
    <t>Local</t>
  </si>
  <si>
    <t>Federal</t>
  </si>
  <si>
    <t>State</t>
  </si>
  <si>
    <t>Allocation</t>
  </si>
  <si>
    <t>Total Revenue</t>
  </si>
  <si>
    <t>Other Financing Sources</t>
  </si>
  <si>
    <t>Transfers Out</t>
  </si>
  <si>
    <t>Projected Change in Fund Balance (Reserves)</t>
  </si>
  <si>
    <t>Kern Community College District</t>
  </si>
  <si>
    <t>2014-15 Projected</t>
  </si>
  <si>
    <t>2016-17 Projected</t>
  </si>
  <si>
    <t>2015-16 Projected</t>
  </si>
  <si>
    <t xml:space="preserve">2014-15 Longterm Budget Projections </t>
  </si>
  <si>
    <t>General Unrestricted (GU001 Only)</t>
  </si>
  <si>
    <t>Academic Salaries (Instructional)</t>
  </si>
  <si>
    <t>Academic Salaries (Non-Instructional)</t>
  </si>
  <si>
    <t>Classifed (Instructional)</t>
  </si>
  <si>
    <t>Classified &amp; Other Non-academic Salaries (Non-Instructional)</t>
  </si>
  <si>
    <t>Employee Benefits(Non- Instructional)</t>
  </si>
  <si>
    <t>Employee Benefits (Instructional)</t>
  </si>
  <si>
    <t>Classified</t>
  </si>
  <si>
    <t>Management</t>
  </si>
  <si>
    <t xml:space="preserve">Full Time Equivalent Employees </t>
  </si>
  <si>
    <t>Instructional (Tenure Track)</t>
  </si>
  <si>
    <t>Instructional (Adjunct)</t>
  </si>
  <si>
    <t>FON Compliance</t>
  </si>
  <si>
    <t xml:space="preserve">SSSP </t>
  </si>
  <si>
    <t>Student Equity</t>
  </si>
  <si>
    <t>Fiscal Impact and Description of Major Revenue or Expenditure Changes ($$$)</t>
  </si>
  <si>
    <t>STRS Change</t>
  </si>
  <si>
    <t>PERS Change</t>
  </si>
  <si>
    <t>BAC Program</t>
  </si>
  <si>
    <t>BC</t>
  </si>
  <si>
    <t>CCC</t>
  </si>
  <si>
    <t>PC</t>
  </si>
  <si>
    <t>2014-15 Adopted Budget</t>
  </si>
  <si>
    <t>Revenue</t>
  </si>
  <si>
    <t>Base Allocation</t>
  </si>
  <si>
    <t>FTES Allocation</t>
  </si>
  <si>
    <t>Location: Bakersfield</t>
  </si>
  <si>
    <t>FON Compliance (Salaries and Benefits for new faculty)</t>
  </si>
  <si>
    <t>Classified (chgs from equity impact)</t>
  </si>
  <si>
    <t>(mgmt changes include postions from Equity impact)</t>
  </si>
  <si>
    <t>Location: Cerro Coso Community College</t>
  </si>
  <si>
    <t>n/a</t>
  </si>
  <si>
    <t>Adjunct faculty due to C6 grant ending</t>
  </si>
  <si>
    <t>Adjunct faculty due to expansion in Tehachapi and inmate education</t>
  </si>
  <si>
    <t>Facility Rental for Tehachapi</t>
  </si>
  <si>
    <t>Facility Rental for ADMJ classes</t>
  </si>
  <si>
    <t>Utilities</t>
  </si>
  <si>
    <t>Contract Instruction - ADMJ classes</t>
  </si>
  <si>
    <t>Location: Porterville College</t>
  </si>
  <si>
    <t>2014-15 Adopted</t>
  </si>
  <si>
    <t>CC</t>
  </si>
  <si>
    <t>SSSP - Credit</t>
  </si>
  <si>
    <t>SSSP - Non-Credit</t>
  </si>
  <si>
    <t>Instructional (Tenure Track) - GU001 only</t>
  </si>
  <si>
    <t>Location: District Operations</t>
  </si>
  <si>
    <t>District Charge Backs</t>
  </si>
  <si>
    <t>Student Equity &amp; SSSP</t>
  </si>
  <si>
    <t>Location: Total District</t>
  </si>
  <si>
    <t>Fifty Percent Law Implications</t>
  </si>
  <si>
    <t>COLA</t>
  </si>
  <si>
    <t>Growth</t>
  </si>
  <si>
    <t>Other</t>
  </si>
  <si>
    <t>Projected Revenue Increases</t>
  </si>
  <si>
    <t>2014-15 Longterm Budget Projection Premisis</t>
  </si>
  <si>
    <t>Projected Expenditure Increases</t>
  </si>
  <si>
    <t>Labor</t>
  </si>
  <si>
    <t>Non Labor</t>
  </si>
  <si>
    <t>STRS</t>
  </si>
  <si>
    <t>PERS</t>
  </si>
  <si>
    <t>Other Benefits</t>
  </si>
  <si>
    <t>Included in Adopted Budget</t>
  </si>
  <si>
    <t>2015-16 BAS</t>
  </si>
  <si>
    <t>2016-17 BAS</t>
  </si>
  <si>
    <t>Ref</t>
  </si>
  <si>
    <t>FON Compliance (Full Time Tenure Track Faculty)</t>
  </si>
  <si>
    <t>(1) Minimum FON to be in compliance</t>
  </si>
  <si>
    <t>Supplemental Explanatory Reference Notes</t>
  </si>
  <si>
    <t>(2) Minimum FON to be in compliance</t>
  </si>
  <si>
    <t>Bakersfield used the minimum compliance amount to project additional 16 FON</t>
  </si>
  <si>
    <t>-</t>
  </si>
  <si>
    <t>Salary and Benefits ~ $85,000; used 30% as a benefit factor</t>
  </si>
  <si>
    <t>Bakersfield used the minimum compliance amount to project additional 8 FON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</si>
</sst>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Helvetica"/>
    </font>
    <font>
      <sz val="10"/>
      <name val="Helvetica"/>
    </font>
    <font>
      <b/>
      <sz val="12"/>
      <name val="Helvetica"/>
    </font>
    <font>
      <sz val="12"/>
      <name val="Helvetica"/>
    </font>
    <font>
      <b/>
      <sz val="10"/>
      <name val="Helvetica"/>
    </font>
    <font>
      <b/>
      <sz val="12"/>
      <name val="Arial"/>
      <family val="2"/>
    </font>
    <font>
      <b/>
      <i/>
      <sz val="12"/>
      <color theme="1"/>
      <name val="Helvetica"/>
    </font>
    <font>
      <b/>
      <i/>
      <sz val="12"/>
      <name val="Helvetica"/>
    </font>
    <font>
      <sz val="12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2" fillId="0" borderId="1" xfId="0" applyFont="1" applyBorder="1"/>
    <xf numFmtId="0" fontId="4" fillId="0" borderId="0" xfId="0" applyFont="1"/>
    <xf numFmtId="164" fontId="2" fillId="0" borderId="1" xfId="1" applyNumberFormat="1" applyFont="1" applyBorder="1" applyAlignment="1">
      <alignment horizontal="center"/>
    </xf>
    <xf numFmtId="164" fontId="5" fillId="0" borderId="0" xfId="1" applyNumberFormat="1" applyFont="1" applyFill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/>
    <xf numFmtId="164" fontId="8" fillId="0" borderId="0" xfId="1" applyNumberFormat="1" applyFont="1" applyFill="1" applyBorder="1"/>
    <xf numFmtId="0" fontId="0" fillId="0" borderId="0" xfId="0" applyFont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64" fontId="2" fillId="0" borderId="3" xfId="1" applyNumberFormat="1" applyFont="1" applyFill="1" applyBorder="1" applyAlignment="1">
      <alignment horizontal="center"/>
    </xf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22" fontId="3" fillId="0" borderId="0" xfId="0" applyNumberFormat="1" applyFont="1" applyAlignment="1">
      <alignment horizontal="center"/>
    </xf>
    <xf numFmtId="0" fontId="3" fillId="0" borderId="0" xfId="0" applyFont="1" applyFill="1"/>
    <xf numFmtId="0" fontId="2" fillId="0" borderId="3" xfId="0" applyFont="1" applyFill="1" applyBorder="1" applyAlignment="1">
      <alignment horizontal="center" wrapText="1"/>
    </xf>
    <xf numFmtId="0" fontId="2" fillId="0" borderId="0" xfId="0" applyFont="1" applyFill="1"/>
    <xf numFmtId="164" fontId="3" fillId="0" borderId="0" xfId="1" applyNumberFormat="1" applyFont="1" applyFill="1"/>
    <xf numFmtId="43" fontId="3" fillId="0" borderId="0" xfId="0" applyNumberFormat="1" applyFont="1" applyFill="1"/>
    <xf numFmtId="164" fontId="2" fillId="0" borderId="1" xfId="1" applyNumberFormat="1" applyFont="1" applyFill="1" applyBorder="1" applyAlignment="1">
      <alignment horizontal="center"/>
    </xf>
    <xf numFmtId="43" fontId="3" fillId="0" borderId="0" xfId="1" applyFont="1" applyFill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43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3" fillId="0" borderId="0" xfId="0" applyNumberFormat="1" applyFont="1" applyFill="1"/>
    <xf numFmtId="164" fontId="2" fillId="2" borderId="2" xfId="1" applyNumberFormat="1" applyFont="1" applyFill="1" applyBorder="1" applyAlignment="1">
      <alignment horizontal="center"/>
    </xf>
    <xf numFmtId="0" fontId="4" fillId="0" borderId="4" xfId="0" applyFont="1" applyBorder="1"/>
    <xf numFmtId="43" fontId="2" fillId="0" borderId="1" xfId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1" xfId="1" applyNumberFormat="1" applyFont="1" applyFill="1" applyBorder="1" applyAlignment="1">
      <alignment horizontal="center" wrapText="1"/>
    </xf>
    <xf numFmtId="0" fontId="0" fillId="0" borderId="1" xfId="0" applyBorder="1"/>
    <xf numFmtId="0" fontId="4" fillId="0" borderId="0" xfId="0" applyFont="1" applyAlignment="1">
      <alignment horizontal="center" wrapText="1"/>
    </xf>
    <xf numFmtId="164" fontId="0" fillId="0" borderId="0" xfId="1" applyNumberFormat="1" applyFont="1"/>
    <xf numFmtId="164" fontId="4" fillId="0" borderId="3" xfId="1" applyNumberFormat="1" applyFont="1" applyBorder="1" applyAlignment="1">
      <alignment horizontal="center" wrapText="1"/>
    </xf>
    <xf numFmtId="164" fontId="0" fillId="0" borderId="0" xfId="0" applyNumberFormat="1"/>
    <xf numFmtId="164" fontId="1" fillId="0" borderId="0" xfId="1" applyNumberFormat="1" applyFont="1" applyFill="1"/>
    <xf numFmtId="0" fontId="1" fillId="0" borderId="0" xfId="0" applyFont="1"/>
    <xf numFmtId="0" fontId="0" fillId="0" borderId="0" xfId="0" applyFill="1"/>
    <xf numFmtId="43" fontId="0" fillId="0" borderId="0" xfId="1" applyNumberFormat="1" applyFont="1" applyFill="1" applyAlignment="1">
      <alignment horizontal="center"/>
    </xf>
    <xf numFmtId="43" fontId="1" fillId="0" borderId="0" xfId="1" applyFont="1" applyFill="1"/>
    <xf numFmtId="0" fontId="2" fillId="0" borderId="0" xfId="0" applyFont="1" applyBorder="1"/>
    <xf numFmtId="43" fontId="0" fillId="0" borderId="0" xfId="0" applyNumberFormat="1"/>
    <xf numFmtId="164" fontId="0" fillId="0" borderId="0" xfId="0" applyNumberFormat="1" applyFont="1" applyFill="1" applyAlignment="1">
      <alignment horizontal="center"/>
    </xf>
    <xf numFmtId="164" fontId="0" fillId="0" borderId="0" xfId="1" applyNumberFormat="1" applyFont="1" applyFill="1"/>
    <xf numFmtId="0" fontId="4" fillId="0" borderId="0" xfId="0" applyFont="1" applyBorder="1"/>
    <xf numFmtId="43" fontId="1" fillId="0" borderId="0" xfId="1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43" fontId="4" fillId="0" borderId="0" xfId="1" applyFont="1"/>
    <xf numFmtId="164" fontId="4" fillId="0" borderId="3" xfId="1" applyNumberFormat="1" applyFont="1" applyFill="1" applyBorder="1" applyAlignment="1">
      <alignment horizontal="center" wrapText="1"/>
    </xf>
    <xf numFmtId="164" fontId="2" fillId="0" borderId="2" xfId="1" applyNumberFormat="1" applyFont="1" applyFill="1" applyBorder="1" applyAlignment="1">
      <alignment horizontal="center"/>
    </xf>
    <xf numFmtId="43" fontId="0" fillId="0" borderId="3" xfId="1" applyFont="1" applyFill="1" applyBorder="1" applyAlignment="1">
      <alignment horizontal="center"/>
    </xf>
    <xf numFmtId="2" fontId="1" fillId="0" borderId="0" xfId="1" applyNumberFormat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9" fontId="4" fillId="0" borderId="0" xfId="2" applyFont="1"/>
    <xf numFmtId="10" fontId="4" fillId="0" borderId="0" xfId="2" applyNumberFormat="1" applyFont="1"/>
    <xf numFmtId="10" fontId="4" fillId="2" borderId="0" xfId="2" applyNumberFormat="1" applyFont="1" applyFill="1"/>
    <xf numFmtId="0" fontId="4" fillId="0" borderId="1" xfId="0" applyFont="1" applyBorder="1"/>
    <xf numFmtId="10" fontId="0" fillId="0" borderId="0" xfId="2" applyNumberFormat="1" applyFont="1"/>
    <xf numFmtId="0" fontId="2" fillId="0" borderId="0" xfId="0" applyFont="1" applyFill="1" applyBorder="1" applyAlignment="1">
      <alignment horizontal="center" wrapText="1"/>
    </xf>
    <xf numFmtId="0" fontId="0" fillId="0" borderId="4" xfId="0" applyBorder="1"/>
    <xf numFmtId="0" fontId="2" fillId="0" borderId="3" xfId="0" applyFont="1" applyBorder="1"/>
    <xf numFmtId="0" fontId="4" fillId="0" borderId="0" xfId="0" applyFont="1" applyFill="1" applyBorder="1"/>
    <xf numFmtId="10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/>
    </xf>
    <xf numFmtId="43" fontId="0" fillId="0" borderId="0" xfId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 wrapText="1"/>
    </xf>
    <xf numFmtId="3" fontId="3" fillId="3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Alignment="1">
      <alignment horizontal="right"/>
    </xf>
    <xf numFmtId="164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/>
    <xf numFmtId="164" fontId="2" fillId="0" borderId="5" xfId="1" applyNumberFormat="1" applyFont="1" applyFill="1" applyBorder="1" applyAlignment="1">
      <alignment horizontal="center"/>
    </xf>
    <xf numFmtId="164" fontId="5" fillId="0" borderId="5" xfId="1" applyNumberFormat="1" applyFont="1" applyFill="1" applyBorder="1"/>
    <xf numFmtId="0" fontId="2" fillId="0" borderId="5" xfId="0" applyFont="1" applyFill="1" applyBorder="1"/>
    <xf numFmtId="0" fontId="4" fillId="0" borderId="5" xfId="0" applyFont="1" applyBorder="1"/>
    <xf numFmtId="43" fontId="0" fillId="0" borderId="5" xfId="1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164" fontId="2" fillId="0" borderId="6" xfId="1" applyNumberFormat="1" applyFont="1" applyFill="1" applyBorder="1" applyAlignment="1">
      <alignment horizontal="center"/>
    </xf>
    <xf numFmtId="164" fontId="3" fillId="0" borderId="7" xfId="1" applyNumberFormat="1" applyFont="1" applyFill="1" applyBorder="1" applyAlignment="1">
      <alignment horizontal="center"/>
    </xf>
    <xf numFmtId="164" fontId="3" fillId="0" borderId="6" xfId="1" applyNumberFormat="1" applyFont="1" applyFill="1" applyBorder="1" applyAlignment="1">
      <alignment horizontal="center"/>
    </xf>
    <xf numFmtId="164" fontId="2" fillId="0" borderId="8" xfId="1" applyNumberFormat="1" applyFont="1" applyFill="1" applyBorder="1" applyAlignment="1">
      <alignment horizontal="center"/>
    </xf>
    <xf numFmtId="164" fontId="5" fillId="0" borderId="6" xfId="1" applyNumberFormat="1" applyFont="1" applyFill="1" applyBorder="1"/>
    <xf numFmtId="164" fontId="3" fillId="0" borderId="8" xfId="1" applyNumberFormat="1" applyFont="1" applyFill="1" applyBorder="1" applyAlignment="1">
      <alignment horizontal="center"/>
    </xf>
    <xf numFmtId="164" fontId="2" fillId="0" borderId="7" xfId="1" applyNumberFormat="1" applyFont="1" applyFill="1" applyBorder="1" applyAlignment="1">
      <alignment horizontal="center"/>
    </xf>
    <xf numFmtId="0" fontId="2" fillId="0" borderId="6" xfId="0" applyFont="1" applyFill="1" applyBorder="1"/>
    <xf numFmtId="164" fontId="2" fillId="0" borderId="9" xfId="1" applyNumberFormat="1" applyFont="1" applyFill="1" applyBorder="1" applyAlignment="1">
      <alignment horizontal="center"/>
    </xf>
    <xf numFmtId="164" fontId="3" fillId="0" borderId="9" xfId="1" applyNumberFormat="1" applyFont="1" applyFill="1" applyBorder="1" applyAlignment="1">
      <alignment horizontal="center"/>
    </xf>
    <xf numFmtId="3" fontId="3" fillId="0" borderId="7" xfId="1" applyNumberFormat="1" applyFont="1" applyFill="1" applyBorder="1" applyAlignment="1">
      <alignment horizontal="right"/>
    </xf>
    <xf numFmtId="43" fontId="3" fillId="0" borderId="6" xfId="0" applyNumberFormat="1" applyFont="1" applyFill="1" applyBorder="1"/>
    <xf numFmtId="0" fontId="3" fillId="0" borderId="6" xfId="0" applyFont="1" applyFill="1" applyBorder="1"/>
    <xf numFmtId="164" fontId="2" fillId="0" borderId="10" xfId="1" applyNumberFormat="1" applyFont="1" applyFill="1" applyBorder="1" applyAlignment="1">
      <alignment horizontal="center"/>
    </xf>
    <xf numFmtId="37" fontId="3" fillId="3" borderId="5" xfId="1" applyNumberFormat="1" applyFont="1" applyFill="1" applyBorder="1" applyAlignment="1">
      <alignment horizontal="right"/>
    </xf>
    <xf numFmtId="0" fontId="0" fillId="0" borderId="11" xfId="0" applyBorder="1"/>
    <xf numFmtId="0" fontId="12" fillId="0" borderId="1" xfId="0" applyFont="1" applyBorder="1"/>
    <xf numFmtId="0" fontId="0" fillId="0" borderId="0" xfId="0" applyAlignment="1">
      <alignment horizontal="right"/>
    </xf>
    <xf numFmtId="0" fontId="3" fillId="0" borderId="1" xfId="0" applyFont="1" applyFill="1" applyBorder="1"/>
    <xf numFmtId="49" fontId="0" fillId="0" borderId="0" xfId="0" applyNumberFormat="1" applyAlignment="1">
      <alignment horizontal="left"/>
    </xf>
    <xf numFmtId="1" fontId="0" fillId="0" borderId="0" xfId="1" applyNumberFormat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" fontId="3" fillId="0" borderId="0" xfId="1" applyNumberFormat="1" applyFont="1" applyFill="1"/>
    <xf numFmtId="1" fontId="1" fillId="0" borderId="0" xfId="1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right"/>
    </xf>
    <xf numFmtId="1" fontId="0" fillId="0" borderId="3" xfId="1" applyNumberFormat="1" applyFont="1" applyFill="1" applyBorder="1" applyAlignment="1">
      <alignment horizontal="right"/>
    </xf>
    <xf numFmtId="3" fontId="0" fillId="0" borderId="0" xfId="1" applyNumberFormat="1" applyFont="1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2" fontId="0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37" fontId="3" fillId="0" borderId="5" xfId="1" applyNumberFormat="1" applyFont="1" applyFill="1" applyBorder="1" applyAlignment="1">
      <alignment horizontal="right"/>
    </xf>
    <xf numFmtId="10" fontId="3" fillId="3" borderId="5" xfId="1" applyNumberFormat="1" applyFont="1" applyFill="1" applyBorder="1" applyAlignment="1">
      <alignment horizontal="right"/>
    </xf>
    <xf numFmtId="164" fontId="5" fillId="3" borderId="5" xfId="1" applyNumberFormat="1" applyFont="1" applyFill="1" applyBorder="1"/>
    <xf numFmtId="164" fontId="3" fillId="3" borderId="5" xfId="1" applyNumberFormat="1" applyFont="1" applyFill="1" applyBorder="1" applyAlignment="1">
      <alignment horizontal="center"/>
    </xf>
    <xf numFmtId="43" fontId="0" fillId="3" borderId="5" xfId="1" applyFont="1" applyFill="1" applyBorder="1" applyAlignment="1">
      <alignment horizontal="center"/>
    </xf>
    <xf numFmtId="0" fontId="4" fillId="3" borderId="5" xfId="0" applyFont="1" applyFill="1" applyBorder="1"/>
    <xf numFmtId="0" fontId="0" fillId="3" borderId="5" xfId="0" applyFill="1" applyBorder="1"/>
    <xf numFmtId="3" fontId="1" fillId="2" borderId="0" xfId="1" applyNumberFormat="1" applyFont="1" applyFill="1"/>
  </cellXfs>
  <cellStyles count="10">
    <cellStyle name="Comma" xfId="1" builtinId="3"/>
    <cellStyle name="Comma 2" xfId="3"/>
    <cellStyle name="Currency 2" xfId="6"/>
    <cellStyle name="Currency 3" xfId="5"/>
    <cellStyle name="Normal" xfId="0" builtinId="0"/>
    <cellStyle name="Normal 2" xfId="7"/>
    <cellStyle name="Normal 3" xfId="4"/>
    <cellStyle name="Percent" xfId="2" builtinId="5"/>
    <cellStyle name="Percent 2" xfId="9"/>
    <cellStyle name="Percent 3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66675</xdr:colOff>
      <xdr:row>6</xdr:row>
      <xdr:rowOff>133350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7648575" y="1343025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 algn="ctr"/>
              <a14:m>
                <m:oMath xmlns:m="http://schemas.openxmlformats.org/officeDocument/2006/math">
                  <m:r>
                    <a:rPr lang="en-US" sz="1100" i="1">
                      <a:latin typeface="Cambria Math"/>
                      <a:ea typeface="Cambria Math"/>
                    </a:rPr>
                    <m:t>∆</m:t>
                  </m:r>
                </m:oMath>
              </a14:m>
              <a:r>
                <a:rPr lang="en-US" sz="1100"/>
                <a:t>%</a:t>
              </a:r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7648575" y="1343025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 algn="ctr"/>
              <a:r>
                <a:rPr lang="en-US" sz="1100" i="0">
                  <a:latin typeface="Cambria Math"/>
                  <a:ea typeface="Cambria Math"/>
                </a:rPr>
                <a:t>∆</a:t>
              </a:r>
              <a:r>
                <a:rPr lang="en-US" sz="1100"/>
                <a:t>%</a:t>
              </a:r>
            </a:p>
          </xdr:txBody>
        </xdr:sp>
      </mc:Fallback>
    </mc:AlternateContent>
    <xdr:clientData/>
  </xdr:oneCellAnchor>
  <xdr:oneCellAnchor>
    <xdr:from>
      <xdr:col>11</xdr:col>
      <xdr:colOff>142875</xdr:colOff>
      <xdr:row>6</xdr:row>
      <xdr:rowOff>123825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10734675" y="133350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 algn="ctr"/>
              <a14:m>
                <m:oMath xmlns:m="http://schemas.openxmlformats.org/officeDocument/2006/math">
                  <m:r>
                    <a:rPr lang="en-US" sz="1100" i="1">
                      <a:latin typeface="Cambria Math"/>
                      <a:ea typeface="Cambria Math"/>
                    </a:rPr>
                    <m:t>∆</m:t>
                  </m:r>
                </m:oMath>
              </a14:m>
              <a:r>
                <a:rPr lang="en-US" sz="1100"/>
                <a:t>%</a:t>
              </a:r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10734675" y="133350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 algn="ctr"/>
              <a:r>
                <a:rPr lang="en-US" sz="1100" i="0">
                  <a:latin typeface="Cambria Math"/>
                  <a:ea typeface="Cambria Math"/>
                </a:rPr>
                <a:t>∆</a:t>
              </a:r>
              <a:r>
                <a:rPr lang="en-US" sz="1100"/>
                <a:t>%</a:t>
              </a:r>
            </a:p>
          </xdr:txBody>
        </xdr:sp>
      </mc:Fallback>
    </mc:AlternateContent>
    <xdr:clientData/>
  </xdr:oneCellAnchor>
  <xdr:oneCellAnchor>
    <xdr:from>
      <xdr:col>5</xdr:col>
      <xdr:colOff>142875</xdr:colOff>
      <xdr:row>6</xdr:row>
      <xdr:rowOff>123825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7724775" y="133350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/>
                        <a:ea typeface="Cambria Math"/>
                      </a:rPr>
                      <m:t>∆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7724775" y="133350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 algn="ctr"/>
              <a:r>
                <a:rPr lang="en-US" sz="1100" i="0">
                  <a:latin typeface="Cambria Math"/>
                  <a:ea typeface="Cambria Math"/>
                </a:rPr>
                <a:t>∆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152400</xdr:colOff>
      <xdr:row>6</xdr:row>
      <xdr:rowOff>123825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/>
            <xdr:cNvSpPr txBox="1"/>
          </xdr:nvSpPr>
          <xdr:spPr>
            <a:xfrm>
              <a:off x="11934825" y="133350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/>
                        <a:ea typeface="Cambria Math"/>
                      </a:rPr>
                      <m:t>∆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11934825" y="133350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 algn="ctr"/>
              <a:r>
                <a:rPr lang="en-US" sz="1100" i="0">
                  <a:latin typeface="Cambria Math"/>
                  <a:ea typeface="Cambria Math"/>
                </a:rPr>
                <a:t>∆</a:t>
              </a:r>
              <a:endParaRPr lang="en-US" sz="110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mittees.kccd.edu/Home/tburke/2013-14%20Budget%20Stuff/2013-14%20Final%20Unrestricted%20Carryov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mittees.kccd.edu/2010-11%20Budget%20Stuff/Tentative%202010-11%20Carryover%20Calculations%20version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mittees.kccd.edu/Users/Somaly/AppData/Local/Microsoft/Windows/INetCache/IE/7ZJ5YE88/Longterm%20Projection%20Premi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ase Data"/>
      <sheetName val="Enrollment Fees"/>
      <sheetName val="Weill Cost"/>
      <sheetName val="Macro1"/>
      <sheetName val="BC Variance"/>
      <sheetName val="Sheet2"/>
    </sheetNames>
    <sheetDataSet>
      <sheetData sheetId="0" refreshError="1">
        <row r="71">
          <cell r="C71">
            <v>4710057.4589110631</v>
          </cell>
          <cell r="D71">
            <v>4476134.5495275659</v>
          </cell>
          <cell r="E71">
            <v>5640907.9579990637</v>
          </cell>
          <cell r="G71">
            <v>14792028.224307898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Carryover Analysis"/>
      <sheetName val="DO Onet Time Expenditures"/>
      <sheetName val="2010-11 Carryover"/>
      <sheetName val="Macro1"/>
      <sheetName val="GU001"/>
    </sheetNames>
    <sheetDataSet>
      <sheetData sheetId="0" refreshError="1"/>
      <sheetData sheetId="1" refreshError="1"/>
      <sheetData sheetId="2" refreshError="1">
        <row r="16">
          <cell r="H16">
            <v>0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4" workbookViewId="0">
      <selection activeCell="I13" sqref="I13"/>
    </sheetView>
  </sheetViews>
  <sheetFormatPr defaultRowHeight="13.2" x14ac:dyDescent="0.25"/>
  <cols>
    <col min="1" max="1" width="15.5546875" customWidth="1"/>
    <col min="2" max="4" width="12.109375" customWidth="1"/>
    <col min="5" max="5" width="12.33203125" customWidth="1"/>
  </cols>
  <sheetData>
    <row r="1" spans="1:6" ht="15.6" x14ac:dyDescent="0.3">
      <c r="A1" s="1" t="s">
        <v>18</v>
      </c>
    </row>
    <row r="2" spans="1:6" ht="15.6" x14ac:dyDescent="0.3">
      <c r="A2" s="1" t="s">
        <v>76</v>
      </c>
    </row>
    <row r="3" spans="1:6" ht="15.6" x14ac:dyDescent="0.3">
      <c r="A3" s="1"/>
    </row>
    <row r="4" spans="1:6" ht="16.2" thickBot="1" x14ac:dyDescent="0.35">
      <c r="A4" s="1"/>
      <c r="B4" s="41"/>
    </row>
    <row r="5" spans="1:6" ht="31.8" thickBot="1" x14ac:dyDescent="0.35">
      <c r="A5" s="71" t="s">
        <v>1</v>
      </c>
      <c r="B5" s="17" t="s">
        <v>19</v>
      </c>
      <c r="C5" s="26" t="s">
        <v>21</v>
      </c>
      <c r="D5" s="26" t="s">
        <v>20</v>
      </c>
    </row>
    <row r="6" spans="1:6" ht="15.6" x14ac:dyDescent="0.3">
      <c r="A6" s="1"/>
      <c r="B6" s="69"/>
      <c r="C6" s="69"/>
      <c r="D6" s="69"/>
    </row>
    <row r="7" spans="1:6" ht="13.8" thickBot="1" x14ac:dyDescent="0.3">
      <c r="A7" s="67" t="s">
        <v>75</v>
      </c>
      <c r="B7" s="70"/>
      <c r="C7" s="70"/>
      <c r="D7" s="70"/>
    </row>
    <row r="8" spans="1:6" x14ac:dyDescent="0.25">
      <c r="A8" s="6" t="s">
        <v>72</v>
      </c>
      <c r="B8" s="68">
        <v>8.5000000000000006E-3</v>
      </c>
      <c r="C8" s="68">
        <v>0.02</v>
      </c>
      <c r="D8" s="68">
        <v>0.02</v>
      </c>
    </row>
    <row r="9" spans="1:6" x14ac:dyDescent="0.25">
      <c r="A9" s="6" t="s">
        <v>73</v>
      </c>
      <c r="B9" s="68">
        <v>2.75E-2</v>
      </c>
      <c r="C9" s="68">
        <v>2.75E-2</v>
      </c>
      <c r="D9" s="68">
        <v>2.75E-2</v>
      </c>
    </row>
    <row r="10" spans="1:6" x14ac:dyDescent="0.25">
      <c r="A10" s="6" t="s">
        <v>74</v>
      </c>
      <c r="B10" s="68">
        <v>0</v>
      </c>
      <c r="C10" s="68">
        <v>0</v>
      </c>
      <c r="D10" s="68">
        <v>0</v>
      </c>
    </row>
    <row r="13" spans="1:6" ht="13.8" thickBot="1" x14ac:dyDescent="0.3">
      <c r="A13" s="37" t="s">
        <v>77</v>
      </c>
      <c r="B13" s="70"/>
      <c r="C13" s="70"/>
      <c r="D13" s="70"/>
    </row>
    <row r="14" spans="1:6" ht="40.200000000000003" thickTop="1" x14ac:dyDescent="0.25">
      <c r="A14" s="72" t="s">
        <v>78</v>
      </c>
      <c r="B14" s="74" t="s">
        <v>83</v>
      </c>
      <c r="C14" s="73">
        <v>0.02</v>
      </c>
      <c r="D14" s="73">
        <v>0.02</v>
      </c>
    </row>
    <row r="15" spans="1:6" x14ac:dyDescent="0.25">
      <c r="A15" s="72" t="s">
        <v>80</v>
      </c>
      <c r="B15" s="68">
        <v>7.6300000000000007E-2</v>
      </c>
      <c r="C15" s="68">
        <v>0.20833333333333326</v>
      </c>
      <c r="D15" s="68">
        <v>0.17241379310344818</v>
      </c>
    </row>
    <row r="16" spans="1:6" x14ac:dyDescent="0.25">
      <c r="A16" s="72" t="s">
        <v>81</v>
      </c>
      <c r="B16" s="68">
        <v>2.8799999999999999E-2</v>
      </c>
      <c r="C16" s="68">
        <v>7.0427321383060182E-2</v>
      </c>
      <c r="D16" s="68">
        <v>0.19047619047619047</v>
      </c>
      <c r="F16">
        <f>8.88*1.0763</f>
        <v>9.5575440000000018</v>
      </c>
    </row>
    <row r="17" spans="1:4" ht="39.6" x14ac:dyDescent="0.25">
      <c r="A17" s="72" t="s">
        <v>82</v>
      </c>
      <c r="B17" s="74" t="s">
        <v>83</v>
      </c>
      <c r="C17" s="68">
        <v>0.02</v>
      </c>
      <c r="D17" s="68">
        <v>0.02</v>
      </c>
    </row>
    <row r="18" spans="1:4" ht="39.6" x14ac:dyDescent="0.25">
      <c r="A18" s="72" t="s">
        <v>79</v>
      </c>
      <c r="B18" s="74" t="s">
        <v>83</v>
      </c>
      <c r="C18" s="73">
        <v>0.02</v>
      </c>
      <c r="D18" s="73">
        <v>0.02</v>
      </c>
    </row>
    <row r="20" spans="1:4" x14ac:dyDescent="0.25">
      <c r="A20" s="72" t="s">
        <v>35</v>
      </c>
      <c r="C20" s="43">
        <v>43</v>
      </c>
      <c r="D20" s="43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66"/>
  <sheetViews>
    <sheetView workbookViewId="0">
      <pane xSplit="1" ySplit="7" topLeftCell="B29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5" x14ac:dyDescent="0.25"/>
  <cols>
    <col min="1" max="1" width="65.33203125" bestFit="1" customWidth="1"/>
    <col min="2" max="2" width="22.5546875" style="16" customWidth="1"/>
    <col min="3" max="3" width="16.44140625" style="16" bestFit="1" customWidth="1"/>
    <col min="4" max="4" width="18.5546875" style="25" customWidth="1"/>
    <col min="5" max="5" width="0" hidden="1" customWidth="1"/>
  </cols>
  <sheetData>
    <row r="1" spans="1:6" ht="15.6" x14ac:dyDescent="0.3">
      <c r="A1" s="1" t="s">
        <v>18</v>
      </c>
      <c r="E1" s="24">
        <f ca="1">NOW()</f>
        <v>42121.625458101851</v>
      </c>
    </row>
    <row r="2" spans="1:6" ht="15.6" x14ac:dyDescent="0.3">
      <c r="A2" s="1" t="s">
        <v>22</v>
      </c>
    </row>
    <row r="3" spans="1:6" ht="15.6" x14ac:dyDescent="0.3">
      <c r="A3" s="1"/>
    </row>
    <row r="4" spans="1:6" ht="16.2" thickBot="1" x14ac:dyDescent="0.35">
      <c r="A4" s="5" t="s">
        <v>70</v>
      </c>
    </row>
    <row r="6" spans="1:6" ht="16.2" thickBot="1" x14ac:dyDescent="0.35">
      <c r="A6" s="5" t="s">
        <v>23</v>
      </c>
      <c r="B6" s="23"/>
      <c r="C6" s="23"/>
    </row>
    <row r="7" spans="1:6" s="3" customFormat="1" ht="31.8" thickBot="1" x14ac:dyDescent="0.35">
      <c r="A7" s="2" t="s">
        <v>1</v>
      </c>
      <c r="B7" s="17" t="s">
        <v>19</v>
      </c>
      <c r="C7" s="26" t="s">
        <v>21</v>
      </c>
      <c r="D7" s="26" t="s">
        <v>20</v>
      </c>
    </row>
    <row r="8" spans="1:6" s="6" customFormat="1" ht="16.2" thickBot="1" x14ac:dyDescent="0.35">
      <c r="A8" s="1" t="s">
        <v>0</v>
      </c>
      <c r="B8" s="18">
        <f>+BC!B8+CCC!B8+PC!C8+DO!B8+[1]Summary!$G$71</f>
        <v>29619127.731834531</v>
      </c>
      <c r="C8" s="18">
        <f>+B33</f>
        <v>27269592.083734542</v>
      </c>
      <c r="D8" s="18">
        <f>+C33</f>
        <v>30831421.783615634</v>
      </c>
    </row>
    <row r="9" spans="1:6" x14ac:dyDescent="0.25">
      <c r="A9" s="4"/>
      <c r="B9" s="19"/>
      <c r="C9" s="19"/>
    </row>
    <row r="10" spans="1:6" s="6" customFormat="1" ht="16.2" thickBot="1" x14ac:dyDescent="0.35">
      <c r="A10" s="5" t="s">
        <v>2</v>
      </c>
      <c r="B10" s="32"/>
      <c r="C10" s="8"/>
      <c r="D10" s="27"/>
    </row>
    <row r="11" spans="1:6" s="6" customFormat="1" ht="15.6" x14ac:dyDescent="0.3">
      <c r="A11" s="12" t="s">
        <v>11</v>
      </c>
      <c r="B11" s="20">
        <f>+BC!B11+CCC!B11+PC!C11+DO!B11</f>
        <v>3000</v>
      </c>
      <c r="C11" s="20">
        <f>+BC!D11+CCC!C11+PC!D11+DO!C11</f>
        <v>3000</v>
      </c>
      <c r="D11" s="20">
        <f>+BC!I11+CCC!D11+PC!E11+DO!D11</f>
        <v>3000</v>
      </c>
      <c r="F11" s="66">
        <f t="shared" ref="F11:F15" si="0">+D11/B11-1</f>
        <v>0</v>
      </c>
    </row>
    <row r="12" spans="1:6" s="6" customFormat="1" ht="15.6" x14ac:dyDescent="0.3">
      <c r="A12" s="12" t="s">
        <v>12</v>
      </c>
      <c r="B12" s="20">
        <f>+BC!B12+CCC!B12+PC!C12+DO!B12</f>
        <v>0</v>
      </c>
      <c r="C12" s="20">
        <f>+BC!D12+CCC!C12+PC!D12+DO!C12</f>
        <v>0</v>
      </c>
      <c r="D12" s="20">
        <f>+BC!I12+CCC!D12+PC!E12+DO!D12</f>
        <v>0</v>
      </c>
      <c r="F12" s="66"/>
    </row>
    <row r="13" spans="1:6" s="6" customFormat="1" ht="15.6" x14ac:dyDescent="0.3">
      <c r="A13" s="12" t="s">
        <v>10</v>
      </c>
      <c r="B13" s="20">
        <f>+BC!B13+CCC!B13+PC!C13+DO!B13</f>
        <v>1715507</v>
      </c>
      <c r="C13" s="20">
        <f>+BC!D13+CCC!C13+PC!D13+DO!C13</f>
        <v>1715507</v>
      </c>
      <c r="D13" s="20">
        <f>+BC!I13+CCC!D13+PC!E13+DO!D13</f>
        <v>1870487</v>
      </c>
      <c r="F13" s="66">
        <f t="shared" si="0"/>
        <v>9.0340639822513058E-2</v>
      </c>
    </row>
    <row r="14" spans="1:6" s="6" customFormat="1" ht="16.2" thickBot="1" x14ac:dyDescent="0.35">
      <c r="A14" s="12" t="s">
        <v>13</v>
      </c>
      <c r="B14" s="20">
        <f>+BC!B14+CCC!B14+PC!C14+DO!B14</f>
        <v>107058194</v>
      </c>
      <c r="C14" s="20">
        <f>+BC!D14+CCC!C14+PC!D14+DO!C14</f>
        <v>111719554.73847598</v>
      </c>
      <c r="D14" s="20">
        <f>+BC!I14+CCC!D14+PC!E14+DO!D14</f>
        <v>116543478.13807751</v>
      </c>
      <c r="F14" s="66">
        <f t="shared" si="0"/>
        <v>8.859932886666777E-2</v>
      </c>
    </row>
    <row r="15" spans="1:6" s="6" customFormat="1" ht="16.2" hidden="1" thickBot="1" x14ac:dyDescent="0.35">
      <c r="A15" s="12" t="s">
        <v>13</v>
      </c>
      <c r="B15" s="20"/>
      <c r="C15" s="14"/>
      <c r="D15" s="28">
        <f>+'[2]2010-11 Carryover'!H16</f>
        <v>0</v>
      </c>
      <c r="F15" s="66" t="e">
        <f t="shared" si="0"/>
        <v>#DIV/0!</v>
      </c>
    </row>
    <row r="16" spans="1:6" s="6" customFormat="1" ht="16.2" thickBot="1" x14ac:dyDescent="0.35">
      <c r="A16" s="9" t="s">
        <v>14</v>
      </c>
      <c r="B16" s="18">
        <f>SUM(B11:B15)</f>
        <v>108776701</v>
      </c>
      <c r="C16" s="18">
        <f t="shared" ref="C16:D16" si="1">SUM(C11:C15)</f>
        <v>113438061.73847598</v>
      </c>
      <c r="D16" s="18">
        <f t="shared" si="1"/>
        <v>118416965.13807751</v>
      </c>
      <c r="F16" s="66">
        <f>+D16/B16-1</f>
        <v>8.8624347396576431E-2</v>
      </c>
    </row>
    <row r="17" spans="1:6" s="6" customFormat="1" ht="15.6" x14ac:dyDescent="0.3">
      <c r="A17" s="10"/>
      <c r="B17" s="32"/>
      <c r="C17" s="8"/>
      <c r="D17" s="27"/>
    </row>
    <row r="18" spans="1:6" ht="16.2" thickBot="1" x14ac:dyDescent="0.35">
      <c r="A18" s="13" t="s">
        <v>3</v>
      </c>
      <c r="B18" s="19"/>
      <c r="C18" s="19"/>
    </row>
    <row r="19" spans="1:6" ht="15.6" x14ac:dyDescent="0.3">
      <c r="A19" s="10" t="s">
        <v>24</v>
      </c>
      <c r="B19" s="20">
        <f>+BC!B18+CCC!B19+PC!C18+DO!B19</f>
        <v>35178739.359999999</v>
      </c>
      <c r="C19" s="20">
        <f>+BC!D18+CCC!C19+PC!D18+DO!C19</f>
        <v>37098381.609999999</v>
      </c>
      <c r="D19" s="20">
        <f>+BC!I18+CCC!D19+PC!E18+DO!D19</f>
        <v>38781499.946400002</v>
      </c>
      <c r="F19" s="65">
        <f t="shared" ref="F19:F30" si="2">+D19/B19-1</f>
        <v>0.10241301001526293</v>
      </c>
    </row>
    <row r="20" spans="1:6" ht="15.6" x14ac:dyDescent="0.3">
      <c r="A20" s="10" t="s">
        <v>25</v>
      </c>
      <c r="B20" s="20">
        <f>+BC!B19+CCC!B20+PC!C19+DO!B20</f>
        <v>9128754.709999999</v>
      </c>
      <c r="C20" s="20">
        <f>+BC!D19+CCC!C20+PC!D19+DO!C20</f>
        <v>9614959.7204</v>
      </c>
      <c r="D20" s="20">
        <f>+BC!I19+CCC!D20+PC!E19+DO!D20</f>
        <v>10034220.509008</v>
      </c>
      <c r="F20" s="65">
        <f t="shared" si="2"/>
        <v>9.9188315139645322E-2</v>
      </c>
    </row>
    <row r="21" spans="1:6" ht="15.6" x14ac:dyDescent="0.3">
      <c r="A21" s="10" t="s">
        <v>27</v>
      </c>
      <c r="B21" s="20">
        <f>+BC!B20+CCC!B21+PC!C20+DO!B21</f>
        <v>19286401.199999999</v>
      </c>
      <c r="C21" s="20">
        <f>+BC!D20+CCC!C21+PC!D20+DO!C21</f>
        <v>20805180.859999999</v>
      </c>
      <c r="D21" s="20">
        <f>+BC!I20+CCC!D21+PC!E20+DO!D21</f>
        <v>21382771.583999999</v>
      </c>
      <c r="F21" s="65">
        <f t="shared" si="2"/>
        <v>0.1086968150387746</v>
      </c>
    </row>
    <row r="22" spans="1:6" ht="15.6" x14ac:dyDescent="0.3">
      <c r="A22" s="10" t="s">
        <v>26</v>
      </c>
      <c r="B22" s="20">
        <f>+BC!B21+CCC!B22+PC!C21+DO!B22</f>
        <v>2533419.92</v>
      </c>
      <c r="C22" s="20">
        <f>+BC!D21+CCC!C22+PC!D21+DO!C22</f>
        <v>2684268.96</v>
      </c>
      <c r="D22" s="20">
        <f>+BC!I21+CCC!D22+PC!E21+DO!D22</f>
        <v>2738340.3140000002</v>
      </c>
      <c r="F22" s="65">
        <f t="shared" si="2"/>
        <v>8.0886864582639051E-2</v>
      </c>
    </row>
    <row r="23" spans="1:6" ht="15.6" x14ac:dyDescent="0.3">
      <c r="A23" s="10" t="s">
        <v>29</v>
      </c>
      <c r="B23" s="20">
        <f>+BC!B22+CCC!B23+PC!C22+DO!B23</f>
        <v>9182316.9124999996</v>
      </c>
      <c r="C23" s="20">
        <f>+BC!D22+CCC!C23+PC!D22+DO!C23</f>
        <v>9868387.9731757492</v>
      </c>
      <c r="D23" s="20">
        <f>+BC!I22+CCC!D23+PC!E22+DO!D23</f>
        <v>10452543.35288725</v>
      </c>
      <c r="F23" s="65">
        <f t="shared" si="2"/>
        <v>0.13833397959267524</v>
      </c>
    </row>
    <row r="24" spans="1:6" ht="15.6" x14ac:dyDescent="0.3">
      <c r="A24" s="10" t="s">
        <v>28</v>
      </c>
      <c r="B24" s="20">
        <f>+BC!B23+CCC!B24+PC!C23+DO!B24</f>
        <v>10693867.355599999</v>
      </c>
      <c r="C24" s="20">
        <f>+BC!D23+CCC!C24+PC!D23+DO!C24</f>
        <v>10674737.031386241</v>
      </c>
      <c r="D24" s="20">
        <f>+BC!I23+CCC!D24+PC!E23+DO!D24</f>
        <v>11326368.774966879</v>
      </c>
      <c r="F24" s="65">
        <f t="shared" si="2"/>
        <v>5.9146181482759852E-2</v>
      </c>
    </row>
    <row r="25" spans="1:6" ht="15.6" x14ac:dyDescent="0.3">
      <c r="A25" s="10" t="s">
        <v>7</v>
      </c>
      <c r="B25" s="20">
        <f>+BC!B24+CCC!B25+PC!C24+DO!B25</f>
        <v>2256343.87</v>
      </c>
      <c r="C25" s="20">
        <f>+BC!D24+CCC!C25+PC!D24+DO!C25</f>
        <v>2416458.7453999999</v>
      </c>
      <c r="D25" s="20">
        <f>+BC!I24+CCC!D25+PC!E24+DO!D25</f>
        <v>2469431.9177080002</v>
      </c>
      <c r="F25" s="65">
        <f t="shared" si="2"/>
        <v>9.4439526944977592E-2</v>
      </c>
    </row>
    <row r="26" spans="1:6" ht="15.6" x14ac:dyDescent="0.3">
      <c r="A26" s="10" t="s">
        <v>8</v>
      </c>
      <c r="B26" s="20">
        <f>+BC!B25+CCC!B26+PC!C25+DO!B26</f>
        <v>13441180.1</v>
      </c>
      <c r="C26" s="20">
        <f>+BC!D25+CCC!C26+PC!D25+DO!C26</f>
        <v>13928972.661000002</v>
      </c>
      <c r="D26" s="20">
        <f>+BC!I25+CCC!D26+PC!E25+DO!D26</f>
        <v>14207552.107620001</v>
      </c>
      <c r="F26" s="65">
        <f t="shared" si="2"/>
        <v>5.7016720400911991E-2</v>
      </c>
    </row>
    <row r="27" spans="1:6" ht="15.6" x14ac:dyDescent="0.3">
      <c r="A27" s="10" t="s">
        <v>9</v>
      </c>
      <c r="B27" s="20">
        <f>+BC!B26+CCC!B27+PC!C26+DO!B27</f>
        <v>1876217.2200000002</v>
      </c>
      <c r="C27" s="20">
        <f>+BC!D26+CCC!C27+PC!D26+DO!C27</f>
        <v>3023391.5623999997</v>
      </c>
      <c r="D27" s="20">
        <f>+BC!I26+CCC!D27+PC!E26+DO!D27</f>
        <v>1974209.3968479999</v>
      </c>
      <c r="F27" s="65">
        <f t="shared" si="2"/>
        <v>5.2228588355030414E-2</v>
      </c>
    </row>
    <row r="28" spans="1:6" ht="15.6" x14ac:dyDescent="0.3">
      <c r="A28" s="10" t="s">
        <v>4</v>
      </c>
      <c r="B28" s="20">
        <f>+BC!B27+CCC!B28+PC!C27+DO!B28</f>
        <v>5923700</v>
      </c>
      <c r="C28" s="20">
        <f>+BC!D27+CCC!C28+PC!D27+DO!C28</f>
        <v>5287338.3</v>
      </c>
      <c r="D28" s="20">
        <f>+BC!I27+CCC!D28+PC!E27+DO!D28</f>
        <v>5393085.0659999996</v>
      </c>
      <c r="F28" s="65">
        <f t="shared" si="2"/>
        <v>-8.9574916690581929E-2</v>
      </c>
    </row>
    <row r="29" spans="1:6" ht="15.6" x14ac:dyDescent="0.3">
      <c r="A29" s="10" t="str">
        <f>+BC!A28</f>
        <v>District Charge Backs</v>
      </c>
      <c r="B29" s="20">
        <f>+BC!B28+CCC!B29+PC!C28+DO!B29</f>
        <v>0</v>
      </c>
      <c r="C29" s="20">
        <f>+BC!D28+CCC!C29+PC!D28+DO!C29</f>
        <v>-7063558.6251670793</v>
      </c>
      <c r="D29" s="20">
        <f>+BC!I28+CCC!D29+PC!E28+DO!D29</f>
        <v>-7154910.5789013933</v>
      </c>
      <c r="F29" s="65"/>
    </row>
    <row r="30" spans="1:6" ht="16.2" thickBot="1" x14ac:dyDescent="0.35">
      <c r="A30" s="10" t="s">
        <v>16</v>
      </c>
      <c r="B30" s="20">
        <f>+BC!B29+CCC!B30+PC!C29+DO!B30</f>
        <v>1625296</v>
      </c>
      <c r="C30" s="20">
        <f>+BC!D29+CCC!C30+PC!D29+DO!C30</f>
        <v>1537713.24</v>
      </c>
      <c r="D30" s="20">
        <f>+BC!I29+CCC!D30+PC!E29+DO!D30</f>
        <v>1568467.5048</v>
      </c>
      <c r="F30" s="65">
        <f t="shared" si="2"/>
        <v>-3.4965012650003402E-2</v>
      </c>
    </row>
    <row r="31" spans="1:6" s="6" customFormat="1" ht="15.6" x14ac:dyDescent="0.3">
      <c r="A31" s="11" t="s">
        <v>6</v>
      </c>
      <c r="B31" s="60">
        <f>SUM(B18:B30)</f>
        <v>111126236.64809999</v>
      </c>
      <c r="C31" s="60">
        <f t="shared" ref="C31:D31" si="3">SUM(C18:C30)</f>
        <v>109876232.03859489</v>
      </c>
      <c r="D31" s="60">
        <f t="shared" si="3"/>
        <v>113173579.89533673</v>
      </c>
      <c r="F31" s="66">
        <f>+D31/B31-1</f>
        <v>1.8423581226096886E-2</v>
      </c>
    </row>
    <row r="32" spans="1:6" ht="15.6" x14ac:dyDescent="0.3">
      <c r="A32" s="1"/>
      <c r="B32" s="19"/>
      <c r="C32" s="19"/>
      <c r="D32" s="29"/>
    </row>
    <row r="33" spans="1:4" s="6" customFormat="1" ht="16.2" thickBot="1" x14ac:dyDescent="0.35">
      <c r="A33" s="1" t="s">
        <v>5</v>
      </c>
      <c r="B33" s="30">
        <f>+B8+B16-B31</f>
        <v>27269592.083734542</v>
      </c>
      <c r="C33" s="7">
        <f>+C8+C16-C31</f>
        <v>30831421.783615634</v>
      </c>
      <c r="D33" s="30">
        <f>+D8+D16-D31</f>
        <v>36074807.026356414</v>
      </c>
    </row>
    <row r="34" spans="1:4" x14ac:dyDescent="0.25">
      <c r="A34" s="15"/>
      <c r="B34" s="21"/>
      <c r="C34" s="21"/>
      <c r="D34" s="31"/>
    </row>
    <row r="35" spans="1:4" s="6" customFormat="1" ht="16.2" thickBot="1" x14ac:dyDescent="0.35">
      <c r="A35" s="1" t="s">
        <v>17</v>
      </c>
      <c r="B35" s="30">
        <f>+B33-B8</f>
        <v>-2349535.6480999887</v>
      </c>
      <c r="C35" s="30">
        <f t="shared" ref="C35:D35" si="4">+C33-C8</f>
        <v>3561829.6998810917</v>
      </c>
      <c r="D35" s="30">
        <f t="shared" si="4"/>
        <v>5243385.2427407801</v>
      </c>
    </row>
    <row r="36" spans="1:4" x14ac:dyDescent="0.25">
      <c r="B36" s="21"/>
      <c r="D36" s="28"/>
    </row>
    <row r="37" spans="1:4" ht="13.2" x14ac:dyDescent="0.25">
      <c r="B37" s="21"/>
      <c r="C37" s="21"/>
      <c r="D37" s="21"/>
    </row>
    <row r="38" spans="1:4" hidden="1" x14ac:dyDescent="0.25">
      <c r="B38" s="21"/>
      <c r="C38" s="34"/>
      <c r="D38" s="28"/>
    </row>
    <row r="39" spans="1:4" ht="31.8" hidden="1" thickBot="1" x14ac:dyDescent="0.35">
      <c r="A39" s="2" t="s">
        <v>38</v>
      </c>
      <c r="B39" s="38" t="s">
        <v>19</v>
      </c>
      <c r="C39" s="39" t="s">
        <v>21</v>
      </c>
      <c r="D39" s="40" t="s">
        <v>20</v>
      </c>
    </row>
    <row r="40" spans="1:4" hidden="1" x14ac:dyDescent="0.25">
      <c r="A40" t="s">
        <v>35</v>
      </c>
      <c r="B40" s="21"/>
      <c r="C40" s="34"/>
      <c r="D40" s="28"/>
    </row>
    <row r="41" spans="1:4" hidden="1" x14ac:dyDescent="0.25">
      <c r="A41" t="s">
        <v>36</v>
      </c>
      <c r="B41" s="21"/>
      <c r="C41" s="34"/>
      <c r="D41" s="28"/>
    </row>
    <row r="42" spans="1:4" hidden="1" x14ac:dyDescent="0.25">
      <c r="A42" t="s">
        <v>37</v>
      </c>
      <c r="B42" s="21"/>
      <c r="C42" s="34"/>
      <c r="D42" s="28"/>
    </row>
    <row r="43" spans="1:4" hidden="1" x14ac:dyDescent="0.25">
      <c r="A43" t="s">
        <v>39</v>
      </c>
      <c r="B43" s="21"/>
      <c r="C43" s="34"/>
      <c r="D43" s="28"/>
    </row>
    <row r="44" spans="1:4" hidden="1" x14ac:dyDescent="0.25">
      <c r="A44" t="s">
        <v>40</v>
      </c>
      <c r="B44" s="21"/>
      <c r="C44" s="34"/>
      <c r="D44" s="28"/>
    </row>
    <row r="45" spans="1:4" hidden="1" x14ac:dyDescent="0.25">
      <c r="A45" t="s">
        <v>41</v>
      </c>
      <c r="B45" s="21"/>
      <c r="C45" s="34"/>
      <c r="D45" s="28"/>
    </row>
    <row r="46" spans="1:4" hidden="1" x14ac:dyDescent="0.25">
      <c r="B46" s="21"/>
      <c r="C46" s="34"/>
      <c r="D46" s="28"/>
    </row>
    <row r="47" spans="1:4" hidden="1" x14ac:dyDescent="0.25">
      <c r="B47" s="21"/>
      <c r="C47" s="34"/>
      <c r="D47" s="28"/>
    </row>
    <row r="48" spans="1:4" ht="15.6" hidden="1" thickBot="1" x14ac:dyDescent="0.3">
      <c r="A48" s="37" t="s">
        <v>32</v>
      </c>
      <c r="B48" s="33"/>
      <c r="C48" s="21"/>
      <c r="D48" s="28"/>
    </row>
    <row r="49" spans="1:4" ht="15.6" hidden="1" thickTop="1" x14ac:dyDescent="0.25">
      <c r="A49" t="s">
        <v>33</v>
      </c>
      <c r="B49" s="21"/>
      <c r="D49" s="28"/>
    </row>
    <row r="50" spans="1:4" hidden="1" x14ac:dyDescent="0.25">
      <c r="A50" t="s">
        <v>34</v>
      </c>
      <c r="B50" s="21"/>
      <c r="D50" s="28"/>
    </row>
    <row r="51" spans="1:4" hidden="1" x14ac:dyDescent="0.25">
      <c r="A51" t="s">
        <v>30</v>
      </c>
      <c r="D51" s="28"/>
    </row>
    <row r="52" spans="1:4" hidden="1" x14ac:dyDescent="0.25">
      <c r="A52" t="s">
        <v>31</v>
      </c>
      <c r="D52" s="35"/>
    </row>
    <row r="53" spans="1:4" hidden="1" x14ac:dyDescent="0.25">
      <c r="B53" s="22"/>
    </row>
    <row r="54" spans="1:4" hidden="1" x14ac:dyDescent="0.25">
      <c r="D54" s="35"/>
    </row>
    <row r="55" spans="1:4" hidden="1" x14ac:dyDescent="0.25"/>
    <row r="56" spans="1:4" hidden="1" x14ac:dyDescent="0.25"/>
    <row r="57" spans="1:4" hidden="1" x14ac:dyDescent="0.25"/>
    <row r="58" spans="1:4" hidden="1" x14ac:dyDescent="0.25"/>
    <row r="59" spans="1:4" hidden="1" x14ac:dyDescent="0.25"/>
    <row r="60" spans="1:4" hidden="1" x14ac:dyDescent="0.25"/>
    <row r="61" spans="1:4" hidden="1" x14ac:dyDescent="0.25"/>
    <row r="62" spans="1:4" hidden="1" x14ac:dyDescent="0.25"/>
    <row r="63" spans="1:4" hidden="1" x14ac:dyDescent="0.25"/>
    <row r="64" spans="1:4" hidden="1" x14ac:dyDescent="0.25"/>
    <row r="65" spans="1:5" hidden="1" x14ac:dyDescent="0.25"/>
    <row r="66" spans="1:5" ht="13.2" x14ac:dyDescent="0.25">
      <c r="A66" t="s">
        <v>71</v>
      </c>
      <c r="B66" s="22">
        <f>(+B19+B22+B23)/(+B31-B30-B29-B28-B27-1560972-2662340)</f>
        <v>0.4810789615951292</v>
      </c>
      <c r="C66" s="22">
        <f>(+C19+C22+C23)/(+C31-C30-C29-C28-C27-((1560972-2662340)*1.02))</f>
        <v>0.45881953976692819</v>
      </c>
      <c r="D66" s="22">
        <f>(+D19+D22+D23)/(+D31-D30-D29-D28-D27-((1560972-2662340)*1.02))</f>
        <v>0.4619105407053542</v>
      </c>
      <c r="E66" s="22">
        <f t="shared" ref="E66" si="5">(+E19+E22+E23)/(+E31-E30-E29-E28-E27-1560972-2662340)</f>
        <v>0</v>
      </c>
    </row>
  </sheetData>
  <printOptions horizontalCentered="1" verticalCentered="1" gridLines="1"/>
  <pageMargins left="0" right="0" top="0.25" bottom="0.25" header="0.3" footer="0.3"/>
  <pageSetup scale="99" firstPageNumber="5" orientation="landscape" useFirstPageNumber="1" r:id="rId1"/>
  <headerFooter>
    <oddFooter>&amp;C6a</oddFooter>
    <firstFooter>&amp;C5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tabSelected="1" topLeftCell="A4" zoomScaleNormal="100" workbookViewId="0">
      <selection activeCell="G53" sqref="G53"/>
    </sheetView>
  </sheetViews>
  <sheetFormatPr defaultRowHeight="15" x14ac:dyDescent="0.25"/>
  <cols>
    <col min="1" max="1" width="69.6640625" bestFit="1" customWidth="1"/>
    <col min="2" max="2" width="15" style="16" bestFit="1" customWidth="1"/>
    <col min="3" max="3" width="12.5546875" style="16" customWidth="1"/>
    <col min="4" max="4" width="16.44140625" style="16" bestFit="1" customWidth="1"/>
    <col min="5" max="5" width="5.88671875" style="16" customWidth="1"/>
    <col min="6" max="6" width="16.44140625" style="16" customWidth="1"/>
    <col min="7" max="7" width="15.109375" style="16" customWidth="1"/>
    <col min="8" max="8" width="12.88671875" style="16" customWidth="1"/>
    <col min="9" max="9" width="18.5546875" style="25" customWidth="1"/>
    <col min="10" max="10" width="6" style="25" customWidth="1"/>
    <col min="11" max="11" width="18.5546875" style="25" customWidth="1"/>
    <col min="12" max="12" width="17.33203125" customWidth="1"/>
    <col min="14" max="14" width="69.88671875" bestFit="1" customWidth="1"/>
    <col min="264" max="264" width="69.6640625" bestFit="1" customWidth="1"/>
    <col min="265" max="265" width="15" bestFit="1" customWidth="1"/>
    <col min="266" max="266" width="16.44140625" bestFit="1" customWidth="1"/>
    <col min="267" max="267" width="18.5546875" customWidth="1"/>
    <col min="268" max="268" width="0" hidden="1" customWidth="1"/>
    <col min="270" max="270" width="69.88671875" bestFit="1" customWidth="1"/>
    <col min="520" max="520" width="69.6640625" bestFit="1" customWidth="1"/>
    <col min="521" max="521" width="15" bestFit="1" customWidth="1"/>
    <col min="522" max="522" width="16.44140625" bestFit="1" customWidth="1"/>
    <col min="523" max="523" width="18.5546875" customWidth="1"/>
    <col min="524" max="524" width="0" hidden="1" customWidth="1"/>
    <col min="526" max="526" width="69.88671875" bestFit="1" customWidth="1"/>
    <col min="776" max="776" width="69.6640625" bestFit="1" customWidth="1"/>
    <col min="777" max="777" width="15" bestFit="1" customWidth="1"/>
    <col min="778" max="778" width="16.44140625" bestFit="1" customWidth="1"/>
    <col min="779" max="779" width="18.5546875" customWidth="1"/>
    <col min="780" max="780" width="0" hidden="1" customWidth="1"/>
    <col min="782" max="782" width="69.88671875" bestFit="1" customWidth="1"/>
    <col min="1032" max="1032" width="69.6640625" bestFit="1" customWidth="1"/>
    <col min="1033" max="1033" width="15" bestFit="1" customWidth="1"/>
    <col min="1034" max="1034" width="16.44140625" bestFit="1" customWidth="1"/>
    <col min="1035" max="1035" width="18.5546875" customWidth="1"/>
    <col min="1036" max="1036" width="0" hidden="1" customWidth="1"/>
    <col min="1038" max="1038" width="69.88671875" bestFit="1" customWidth="1"/>
    <col min="1288" max="1288" width="69.6640625" bestFit="1" customWidth="1"/>
    <col min="1289" max="1289" width="15" bestFit="1" customWidth="1"/>
    <col min="1290" max="1290" width="16.44140625" bestFit="1" customWidth="1"/>
    <col min="1291" max="1291" width="18.5546875" customWidth="1"/>
    <col min="1292" max="1292" width="0" hidden="1" customWidth="1"/>
    <col min="1294" max="1294" width="69.88671875" bestFit="1" customWidth="1"/>
    <col min="1544" max="1544" width="69.6640625" bestFit="1" customWidth="1"/>
    <col min="1545" max="1545" width="15" bestFit="1" customWidth="1"/>
    <col min="1546" max="1546" width="16.44140625" bestFit="1" customWidth="1"/>
    <col min="1547" max="1547" width="18.5546875" customWidth="1"/>
    <col min="1548" max="1548" width="0" hidden="1" customWidth="1"/>
    <col min="1550" max="1550" width="69.88671875" bestFit="1" customWidth="1"/>
    <col min="1800" max="1800" width="69.6640625" bestFit="1" customWidth="1"/>
    <col min="1801" max="1801" width="15" bestFit="1" customWidth="1"/>
    <col min="1802" max="1802" width="16.44140625" bestFit="1" customWidth="1"/>
    <col min="1803" max="1803" width="18.5546875" customWidth="1"/>
    <col min="1804" max="1804" width="0" hidden="1" customWidth="1"/>
    <col min="1806" max="1806" width="69.88671875" bestFit="1" customWidth="1"/>
    <col min="2056" max="2056" width="69.6640625" bestFit="1" customWidth="1"/>
    <col min="2057" max="2057" width="15" bestFit="1" customWidth="1"/>
    <col min="2058" max="2058" width="16.44140625" bestFit="1" customWidth="1"/>
    <col min="2059" max="2059" width="18.5546875" customWidth="1"/>
    <col min="2060" max="2060" width="0" hidden="1" customWidth="1"/>
    <col min="2062" max="2062" width="69.88671875" bestFit="1" customWidth="1"/>
    <col min="2312" max="2312" width="69.6640625" bestFit="1" customWidth="1"/>
    <col min="2313" max="2313" width="15" bestFit="1" customWidth="1"/>
    <col min="2314" max="2314" width="16.44140625" bestFit="1" customWidth="1"/>
    <col min="2315" max="2315" width="18.5546875" customWidth="1"/>
    <col min="2316" max="2316" width="0" hidden="1" customWidth="1"/>
    <col min="2318" max="2318" width="69.88671875" bestFit="1" customWidth="1"/>
    <col min="2568" max="2568" width="69.6640625" bestFit="1" customWidth="1"/>
    <col min="2569" max="2569" width="15" bestFit="1" customWidth="1"/>
    <col min="2570" max="2570" width="16.44140625" bestFit="1" customWidth="1"/>
    <col min="2571" max="2571" width="18.5546875" customWidth="1"/>
    <col min="2572" max="2572" width="0" hidden="1" customWidth="1"/>
    <col min="2574" max="2574" width="69.88671875" bestFit="1" customWidth="1"/>
    <col min="2824" max="2824" width="69.6640625" bestFit="1" customWidth="1"/>
    <col min="2825" max="2825" width="15" bestFit="1" customWidth="1"/>
    <col min="2826" max="2826" width="16.44140625" bestFit="1" customWidth="1"/>
    <col min="2827" max="2827" width="18.5546875" customWidth="1"/>
    <col min="2828" max="2828" width="0" hidden="1" customWidth="1"/>
    <col min="2830" max="2830" width="69.88671875" bestFit="1" customWidth="1"/>
    <col min="3080" max="3080" width="69.6640625" bestFit="1" customWidth="1"/>
    <col min="3081" max="3081" width="15" bestFit="1" customWidth="1"/>
    <col min="3082" max="3082" width="16.44140625" bestFit="1" customWidth="1"/>
    <col min="3083" max="3083" width="18.5546875" customWidth="1"/>
    <col min="3084" max="3084" width="0" hidden="1" customWidth="1"/>
    <col min="3086" max="3086" width="69.88671875" bestFit="1" customWidth="1"/>
    <col min="3336" max="3336" width="69.6640625" bestFit="1" customWidth="1"/>
    <col min="3337" max="3337" width="15" bestFit="1" customWidth="1"/>
    <col min="3338" max="3338" width="16.44140625" bestFit="1" customWidth="1"/>
    <col min="3339" max="3339" width="18.5546875" customWidth="1"/>
    <col min="3340" max="3340" width="0" hidden="1" customWidth="1"/>
    <col min="3342" max="3342" width="69.88671875" bestFit="1" customWidth="1"/>
    <col min="3592" max="3592" width="69.6640625" bestFit="1" customWidth="1"/>
    <col min="3593" max="3593" width="15" bestFit="1" customWidth="1"/>
    <col min="3594" max="3594" width="16.44140625" bestFit="1" customWidth="1"/>
    <col min="3595" max="3595" width="18.5546875" customWidth="1"/>
    <col min="3596" max="3596" width="0" hidden="1" customWidth="1"/>
    <col min="3598" max="3598" width="69.88671875" bestFit="1" customWidth="1"/>
    <col min="3848" max="3848" width="69.6640625" bestFit="1" customWidth="1"/>
    <col min="3849" max="3849" width="15" bestFit="1" customWidth="1"/>
    <col min="3850" max="3850" width="16.44140625" bestFit="1" customWidth="1"/>
    <col min="3851" max="3851" width="18.5546875" customWidth="1"/>
    <col min="3852" max="3852" width="0" hidden="1" customWidth="1"/>
    <col min="3854" max="3854" width="69.88671875" bestFit="1" customWidth="1"/>
    <col min="4104" max="4104" width="69.6640625" bestFit="1" customWidth="1"/>
    <col min="4105" max="4105" width="15" bestFit="1" customWidth="1"/>
    <col min="4106" max="4106" width="16.44140625" bestFit="1" customWidth="1"/>
    <col min="4107" max="4107" width="18.5546875" customWidth="1"/>
    <col min="4108" max="4108" width="0" hidden="1" customWidth="1"/>
    <col min="4110" max="4110" width="69.88671875" bestFit="1" customWidth="1"/>
    <col min="4360" max="4360" width="69.6640625" bestFit="1" customWidth="1"/>
    <col min="4361" max="4361" width="15" bestFit="1" customWidth="1"/>
    <col min="4362" max="4362" width="16.44140625" bestFit="1" customWidth="1"/>
    <col min="4363" max="4363" width="18.5546875" customWidth="1"/>
    <col min="4364" max="4364" width="0" hidden="1" customWidth="1"/>
    <col min="4366" max="4366" width="69.88671875" bestFit="1" customWidth="1"/>
    <col min="4616" max="4616" width="69.6640625" bestFit="1" customWidth="1"/>
    <col min="4617" max="4617" width="15" bestFit="1" customWidth="1"/>
    <col min="4618" max="4618" width="16.44140625" bestFit="1" customWidth="1"/>
    <col min="4619" max="4619" width="18.5546875" customWidth="1"/>
    <col min="4620" max="4620" width="0" hidden="1" customWidth="1"/>
    <col min="4622" max="4622" width="69.88671875" bestFit="1" customWidth="1"/>
    <col min="4872" max="4872" width="69.6640625" bestFit="1" customWidth="1"/>
    <col min="4873" max="4873" width="15" bestFit="1" customWidth="1"/>
    <col min="4874" max="4874" width="16.44140625" bestFit="1" customWidth="1"/>
    <col min="4875" max="4875" width="18.5546875" customWidth="1"/>
    <col min="4876" max="4876" width="0" hidden="1" customWidth="1"/>
    <col min="4878" max="4878" width="69.88671875" bestFit="1" customWidth="1"/>
    <col min="5128" max="5128" width="69.6640625" bestFit="1" customWidth="1"/>
    <col min="5129" max="5129" width="15" bestFit="1" customWidth="1"/>
    <col min="5130" max="5130" width="16.44140625" bestFit="1" customWidth="1"/>
    <col min="5131" max="5131" width="18.5546875" customWidth="1"/>
    <col min="5132" max="5132" width="0" hidden="1" customWidth="1"/>
    <col min="5134" max="5134" width="69.88671875" bestFit="1" customWidth="1"/>
    <col min="5384" max="5384" width="69.6640625" bestFit="1" customWidth="1"/>
    <col min="5385" max="5385" width="15" bestFit="1" customWidth="1"/>
    <col min="5386" max="5386" width="16.44140625" bestFit="1" customWidth="1"/>
    <col min="5387" max="5387" width="18.5546875" customWidth="1"/>
    <col min="5388" max="5388" width="0" hidden="1" customWidth="1"/>
    <col min="5390" max="5390" width="69.88671875" bestFit="1" customWidth="1"/>
    <col min="5640" max="5640" width="69.6640625" bestFit="1" customWidth="1"/>
    <col min="5641" max="5641" width="15" bestFit="1" customWidth="1"/>
    <col min="5642" max="5642" width="16.44140625" bestFit="1" customWidth="1"/>
    <col min="5643" max="5643" width="18.5546875" customWidth="1"/>
    <col min="5644" max="5644" width="0" hidden="1" customWidth="1"/>
    <col min="5646" max="5646" width="69.88671875" bestFit="1" customWidth="1"/>
    <col min="5896" max="5896" width="69.6640625" bestFit="1" customWidth="1"/>
    <col min="5897" max="5897" width="15" bestFit="1" customWidth="1"/>
    <col min="5898" max="5898" width="16.44140625" bestFit="1" customWidth="1"/>
    <col min="5899" max="5899" width="18.5546875" customWidth="1"/>
    <col min="5900" max="5900" width="0" hidden="1" customWidth="1"/>
    <col min="5902" max="5902" width="69.88671875" bestFit="1" customWidth="1"/>
    <col min="6152" max="6152" width="69.6640625" bestFit="1" customWidth="1"/>
    <col min="6153" max="6153" width="15" bestFit="1" customWidth="1"/>
    <col min="6154" max="6154" width="16.44140625" bestFit="1" customWidth="1"/>
    <col min="6155" max="6155" width="18.5546875" customWidth="1"/>
    <col min="6156" max="6156" width="0" hidden="1" customWidth="1"/>
    <col min="6158" max="6158" width="69.88671875" bestFit="1" customWidth="1"/>
    <col min="6408" max="6408" width="69.6640625" bestFit="1" customWidth="1"/>
    <col min="6409" max="6409" width="15" bestFit="1" customWidth="1"/>
    <col min="6410" max="6410" width="16.44140625" bestFit="1" customWidth="1"/>
    <col min="6411" max="6411" width="18.5546875" customWidth="1"/>
    <col min="6412" max="6412" width="0" hidden="1" customWidth="1"/>
    <col min="6414" max="6414" width="69.88671875" bestFit="1" customWidth="1"/>
    <col min="6664" max="6664" width="69.6640625" bestFit="1" customWidth="1"/>
    <col min="6665" max="6665" width="15" bestFit="1" customWidth="1"/>
    <col min="6666" max="6666" width="16.44140625" bestFit="1" customWidth="1"/>
    <col min="6667" max="6667" width="18.5546875" customWidth="1"/>
    <col min="6668" max="6668" width="0" hidden="1" customWidth="1"/>
    <col min="6670" max="6670" width="69.88671875" bestFit="1" customWidth="1"/>
    <col min="6920" max="6920" width="69.6640625" bestFit="1" customWidth="1"/>
    <col min="6921" max="6921" width="15" bestFit="1" customWidth="1"/>
    <col min="6922" max="6922" width="16.44140625" bestFit="1" customWidth="1"/>
    <col min="6923" max="6923" width="18.5546875" customWidth="1"/>
    <col min="6924" max="6924" width="0" hidden="1" customWidth="1"/>
    <col min="6926" max="6926" width="69.88671875" bestFit="1" customWidth="1"/>
    <col min="7176" max="7176" width="69.6640625" bestFit="1" customWidth="1"/>
    <col min="7177" max="7177" width="15" bestFit="1" customWidth="1"/>
    <col min="7178" max="7178" width="16.44140625" bestFit="1" customWidth="1"/>
    <col min="7179" max="7179" width="18.5546875" customWidth="1"/>
    <col min="7180" max="7180" width="0" hidden="1" customWidth="1"/>
    <col min="7182" max="7182" width="69.88671875" bestFit="1" customWidth="1"/>
    <col min="7432" max="7432" width="69.6640625" bestFit="1" customWidth="1"/>
    <col min="7433" max="7433" width="15" bestFit="1" customWidth="1"/>
    <col min="7434" max="7434" width="16.44140625" bestFit="1" customWidth="1"/>
    <col min="7435" max="7435" width="18.5546875" customWidth="1"/>
    <col min="7436" max="7436" width="0" hidden="1" customWidth="1"/>
    <col min="7438" max="7438" width="69.88671875" bestFit="1" customWidth="1"/>
    <col min="7688" max="7688" width="69.6640625" bestFit="1" customWidth="1"/>
    <col min="7689" max="7689" width="15" bestFit="1" customWidth="1"/>
    <col min="7690" max="7690" width="16.44140625" bestFit="1" customWidth="1"/>
    <col min="7691" max="7691" width="18.5546875" customWidth="1"/>
    <col min="7692" max="7692" width="0" hidden="1" customWidth="1"/>
    <col min="7694" max="7694" width="69.88671875" bestFit="1" customWidth="1"/>
    <col min="7944" max="7944" width="69.6640625" bestFit="1" customWidth="1"/>
    <col min="7945" max="7945" width="15" bestFit="1" customWidth="1"/>
    <col min="7946" max="7946" width="16.44140625" bestFit="1" customWidth="1"/>
    <col min="7947" max="7947" width="18.5546875" customWidth="1"/>
    <col min="7948" max="7948" width="0" hidden="1" customWidth="1"/>
    <col min="7950" max="7950" width="69.88671875" bestFit="1" customWidth="1"/>
    <col min="8200" max="8200" width="69.6640625" bestFit="1" customWidth="1"/>
    <col min="8201" max="8201" width="15" bestFit="1" customWidth="1"/>
    <col min="8202" max="8202" width="16.44140625" bestFit="1" customWidth="1"/>
    <col min="8203" max="8203" width="18.5546875" customWidth="1"/>
    <col min="8204" max="8204" width="0" hidden="1" customWidth="1"/>
    <col min="8206" max="8206" width="69.88671875" bestFit="1" customWidth="1"/>
    <col min="8456" max="8456" width="69.6640625" bestFit="1" customWidth="1"/>
    <col min="8457" max="8457" width="15" bestFit="1" customWidth="1"/>
    <col min="8458" max="8458" width="16.44140625" bestFit="1" customWidth="1"/>
    <col min="8459" max="8459" width="18.5546875" customWidth="1"/>
    <col min="8460" max="8460" width="0" hidden="1" customWidth="1"/>
    <col min="8462" max="8462" width="69.88671875" bestFit="1" customWidth="1"/>
    <col min="8712" max="8712" width="69.6640625" bestFit="1" customWidth="1"/>
    <col min="8713" max="8713" width="15" bestFit="1" customWidth="1"/>
    <col min="8714" max="8714" width="16.44140625" bestFit="1" customWidth="1"/>
    <col min="8715" max="8715" width="18.5546875" customWidth="1"/>
    <col min="8716" max="8716" width="0" hidden="1" customWidth="1"/>
    <col min="8718" max="8718" width="69.88671875" bestFit="1" customWidth="1"/>
    <col min="8968" max="8968" width="69.6640625" bestFit="1" customWidth="1"/>
    <col min="8969" max="8969" width="15" bestFit="1" customWidth="1"/>
    <col min="8970" max="8970" width="16.44140625" bestFit="1" customWidth="1"/>
    <col min="8971" max="8971" width="18.5546875" customWidth="1"/>
    <col min="8972" max="8972" width="0" hidden="1" customWidth="1"/>
    <col min="8974" max="8974" width="69.88671875" bestFit="1" customWidth="1"/>
    <col min="9224" max="9224" width="69.6640625" bestFit="1" customWidth="1"/>
    <col min="9225" max="9225" width="15" bestFit="1" customWidth="1"/>
    <col min="9226" max="9226" width="16.44140625" bestFit="1" customWidth="1"/>
    <col min="9227" max="9227" width="18.5546875" customWidth="1"/>
    <col min="9228" max="9228" width="0" hidden="1" customWidth="1"/>
    <col min="9230" max="9230" width="69.88671875" bestFit="1" customWidth="1"/>
    <col min="9480" max="9480" width="69.6640625" bestFit="1" customWidth="1"/>
    <col min="9481" max="9481" width="15" bestFit="1" customWidth="1"/>
    <col min="9482" max="9482" width="16.44140625" bestFit="1" customWidth="1"/>
    <col min="9483" max="9483" width="18.5546875" customWidth="1"/>
    <col min="9484" max="9484" width="0" hidden="1" customWidth="1"/>
    <col min="9486" max="9486" width="69.88671875" bestFit="1" customWidth="1"/>
    <col min="9736" max="9736" width="69.6640625" bestFit="1" customWidth="1"/>
    <col min="9737" max="9737" width="15" bestFit="1" customWidth="1"/>
    <col min="9738" max="9738" width="16.44140625" bestFit="1" customWidth="1"/>
    <col min="9739" max="9739" width="18.5546875" customWidth="1"/>
    <col min="9740" max="9740" width="0" hidden="1" customWidth="1"/>
    <col min="9742" max="9742" width="69.88671875" bestFit="1" customWidth="1"/>
    <col min="9992" max="9992" width="69.6640625" bestFit="1" customWidth="1"/>
    <col min="9993" max="9993" width="15" bestFit="1" customWidth="1"/>
    <col min="9994" max="9994" width="16.44140625" bestFit="1" customWidth="1"/>
    <col min="9995" max="9995" width="18.5546875" customWidth="1"/>
    <col min="9996" max="9996" width="0" hidden="1" customWidth="1"/>
    <col min="9998" max="9998" width="69.88671875" bestFit="1" customWidth="1"/>
    <col min="10248" max="10248" width="69.6640625" bestFit="1" customWidth="1"/>
    <col min="10249" max="10249" width="15" bestFit="1" customWidth="1"/>
    <col min="10250" max="10250" width="16.44140625" bestFit="1" customWidth="1"/>
    <col min="10251" max="10251" width="18.5546875" customWidth="1"/>
    <col min="10252" max="10252" width="0" hidden="1" customWidth="1"/>
    <col min="10254" max="10254" width="69.88671875" bestFit="1" customWidth="1"/>
    <col min="10504" max="10504" width="69.6640625" bestFit="1" customWidth="1"/>
    <col min="10505" max="10505" width="15" bestFit="1" customWidth="1"/>
    <col min="10506" max="10506" width="16.44140625" bestFit="1" customWidth="1"/>
    <col min="10507" max="10507" width="18.5546875" customWidth="1"/>
    <col min="10508" max="10508" width="0" hidden="1" customWidth="1"/>
    <col min="10510" max="10510" width="69.88671875" bestFit="1" customWidth="1"/>
    <col min="10760" max="10760" width="69.6640625" bestFit="1" customWidth="1"/>
    <col min="10761" max="10761" width="15" bestFit="1" customWidth="1"/>
    <col min="10762" max="10762" width="16.44140625" bestFit="1" customWidth="1"/>
    <col min="10763" max="10763" width="18.5546875" customWidth="1"/>
    <col min="10764" max="10764" width="0" hidden="1" customWidth="1"/>
    <col min="10766" max="10766" width="69.88671875" bestFit="1" customWidth="1"/>
    <col min="11016" max="11016" width="69.6640625" bestFit="1" customWidth="1"/>
    <col min="11017" max="11017" width="15" bestFit="1" customWidth="1"/>
    <col min="11018" max="11018" width="16.44140625" bestFit="1" customWidth="1"/>
    <col min="11019" max="11019" width="18.5546875" customWidth="1"/>
    <col min="11020" max="11020" width="0" hidden="1" customWidth="1"/>
    <col min="11022" max="11022" width="69.88671875" bestFit="1" customWidth="1"/>
    <col min="11272" max="11272" width="69.6640625" bestFit="1" customWidth="1"/>
    <col min="11273" max="11273" width="15" bestFit="1" customWidth="1"/>
    <col min="11274" max="11274" width="16.44140625" bestFit="1" customWidth="1"/>
    <col min="11275" max="11275" width="18.5546875" customWidth="1"/>
    <col min="11276" max="11276" width="0" hidden="1" customWidth="1"/>
    <col min="11278" max="11278" width="69.88671875" bestFit="1" customWidth="1"/>
    <col min="11528" max="11528" width="69.6640625" bestFit="1" customWidth="1"/>
    <col min="11529" max="11529" width="15" bestFit="1" customWidth="1"/>
    <col min="11530" max="11530" width="16.44140625" bestFit="1" customWidth="1"/>
    <col min="11531" max="11531" width="18.5546875" customWidth="1"/>
    <col min="11532" max="11532" width="0" hidden="1" customWidth="1"/>
    <col min="11534" max="11534" width="69.88671875" bestFit="1" customWidth="1"/>
    <col min="11784" max="11784" width="69.6640625" bestFit="1" customWidth="1"/>
    <col min="11785" max="11785" width="15" bestFit="1" customWidth="1"/>
    <col min="11786" max="11786" width="16.44140625" bestFit="1" customWidth="1"/>
    <col min="11787" max="11787" width="18.5546875" customWidth="1"/>
    <col min="11788" max="11788" width="0" hidden="1" customWidth="1"/>
    <col min="11790" max="11790" width="69.88671875" bestFit="1" customWidth="1"/>
    <col min="12040" max="12040" width="69.6640625" bestFit="1" customWidth="1"/>
    <col min="12041" max="12041" width="15" bestFit="1" customWidth="1"/>
    <col min="12042" max="12042" width="16.44140625" bestFit="1" customWidth="1"/>
    <col min="12043" max="12043" width="18.5546875" customWidth="1"/>
    <col min="12044" max="12044" width="0" hidden="1" customWidth="1"/>
    <col min="12046" max="12046" width="69.88671875" bestFit="1" customWidth="1"/>
    <col min="12296" max="12296" width="69.6640625" bestFit="1" customWidth="1"/>
    <col min="12297" max="12297" width="15" bestFit="1" customWidth="1"/>
    <col min="12298" max="12298" width="16.44140625" bestFit="1" customWidth="1"/>
    <col min="12299" max="12299" width="18.5546875" customWidth="1"/>
    <col min="12300" max="12300" width="0" hidden="1" customWidth="1"/>
    <col min="12302" max="12302" width="69.88671875" bestFit="1" customWidth="1"/>
    <col min="12552" max="12552" width="69.6640625" bestFit="1" customWidth="1"/>
    <col min="12553" max="12553" width="15" bestFit="1" customWidth="1"/>
    <col min="12554" max="12554" width="16.44140625" bestFit="1" customWidth="1"/>
    <col min="12555" max="12555" width="18.5546875" customWidth="1"/>
    <col min="12556" max="12556" width="0" hidden="1" customWidth="1"/>
    <col min="12558" max="12558" width="69.88671875" bestFit="1" customWidth="1"/>
    <col min="12808" max="12808" width="69.6640625" bestFit="1" customWidth="1"/>
    <col min="12809" max="12809" width="15" bestFit="1" customWidth="1"/>
    <col min="12810" max="12810" width="16.44140625" bestFit="1" customWidth="1"/>
    <col min="12811" max="12811" width="18.5546875" customWidth="1"/>
    <col min="12812" max="12812" width="0" hidden="1" customWidth="1"/>
    <col min="12814" max="12814" width="69.88671875" bestFit="1" customWidth="1"/>
    <col min="13064" max="13064" width="69.6640625" bestFit="1" customWidth="1"/>
    <col min="13065" max="13065" width="15" bestFit="1" customWidth="1"/>
    <col min="13066" max="13066" width="16.44140625" bestFit="1" customWidth="1"/>
    <col min="13067" max="13067" width="18.5546875" customWidth="1"/>
    <col min="13068" max="13068" width="0" hidden="1" customWidth="1"/>
    <col min="13070" max="13070" width="69.88671875" bestFit="1" customWidth="1"/>
    <col min="13320" max="13320" width="69.6640625" bestFit="1" customWidth="1"/>
    <col min="13321" max="13321" width="15" bestFit="1" customWidth="1"/>
    <col min="13322" max="13322" width="16.44140625" bestFit="1" customWidth="1"/>
    <col min="13323" max="13323" width="18.5546875" customWidth="1"/>
    <col min="13324" max="13324" width="0" hidden="1" customWidth="1"/>
    <col min="13326" max="13326" width="69.88671875" bestFit="1" customWidth="1"/>
    <col min="13576" max="13576" width="69.6640625" bestFit="1" customWidth="1"/>
    <col min="13577" max="13577" width="15" bestFit="1" customWidth="1"/>
    <col min="13578" max="13578" width="16.44140625" bestFit="1" customWidth="1"/>
    <col min="13579" max="13579" width="18.5546875" customWidth="1"/>
    <col min="13580" max="13580" width="0" hidden="1" customWidth="1"/>
    <col min="13582" max="13582" width="69.88671875" bestFit="1" customWidth="1"/>
    <col min="13832" max="13832" width="69.6640625" bestFit="1" customWidth="1"/>
    <col min="13833" max="13833" width="15" bestFit="1" customWidth="1"/>
    <col min="13834" max="13834" width="16.44140625" bestFit="1" customWidth="1"/>
    <col min="13835" max="13835" width="18.5546875" customWidth="1"/>
    <col min="13836" max="13836" width="0" hidden="1" customWidth="1"/>
    <col min="13838" max="13838" width="69.88671875" bestFit="1" customWidth="1"/>
    <col min="14088" max="14088" width="69.6640625" bestFit="1" customWidth="1"/>
    <col min="14089" max="14089" width="15" bestFit="1" customWidth="1"/>
    <col min="14090" max="14090" width="16.44140625" bestFit="1" customWidth="1"/>
    <col min="14091" max="14091" width="18.5546875" customWidth="1"/>
    <col min="14092" max="14092" width="0" hidden="1" customWidth="1"/>
    <col min="14094" max="14094" width="69.88671875" bestFit="1" customWidth="1"/>
    <col min="14344" max="14344" width="69.6640625" bestFit="1" customWidth="1"/>
    <col min="14345" max="14345" width="15" bestFit="1" customWidth="1"/>
    <col min="14346" max="14346" width="16.44140625" bestFit="1" customWidth="1"/>
    <col min="14347" max="14347" width="18.5546875" customWidth="1"/>
    <col min="14348" max="14348" width="0" hidden="1" customWidth="1"/>
    <col min="14350" max="14350" width="69.88671875" bestFit="1" customWidth="1"/>
    <col min="14600" max="14600" width="69.6640625" bestFit="1" customWidth="1"/>
    <col min="14601" max="14601" width="15" bestFit="1" customWidth="1"/>
    <col min="14602" max="14602" width="16.44140625" bestFit="1" customWidth="1"/>
    <col min="14603" max="14603" width="18.5546875" customWidth="1"/>
    <col min="14604" max="14604" width="0" hidden="1" customWidth="1"/>
    <col min="14606" max="14606" width="69.88671875" bestFit="1" customWidth="1"/>
    <col min="14856" max="14856" width="69.6640625" bestFit="1" customWidth="1"/>
    <col min="14857" max="14857" width="15" bestFit="1" customWidth="1"/>
    <col min="14858" max="14858" width="16.44140625" bestFit="1" customWidth="1"/>
    <col min="14859" max="14859" width="18.5546875" customWidth="1"/>
    <col min="14860" max="14860" width="0" hidden="1" customWidth="1"/>
    <col min="14862" max="14862" width="69.88671875" bestFit="1" customWidth="1"/>
    <col min="15112" max="15112" width="69.6640625" bestFit="1" customWidth="1"/>
    <col min="15113" max="15113" width="15" bestFit="1" customWidth="1"/>
    <col min="15114" max="15114" width="16.44140625" bestFit="1" customWidth="1"/>
    <col min="15115" max="15115" width="18.5546875" customWidth="1"/>
    <col min="15116" max="15116" width="0" hidden="1" customWidth="1"/>
    <col min="15118" max="15118" width="69.88671875" bestFit="1" customWidth="1"/>
    <col min="15368" max="15368" width="69.6640625" bestFit="1" customWidth="1"/>
    <col min="15369" max="15369" width="15" bestFit="1" customWidth="1"/>
    <col min="15370" max="15370" width="16.44140625" bestFit="1" customWidth="1"/>
    <col min="15371" max="15371" width="18.5546875" customWidth="1"/>
    <col min="15372" max="15372" width="0" hidden="1" customWidth="1"/>
    <col min="15374" max="15374" width="69.88671875" bestFit="1" customWidth="1"/>
    <col min="15624" max="15624" width="69.6640625" bestFit="1" customWidth="1"/>
    <col min="15625" max="15625" width="15" bestFit="1" customWidth="1"/>
    <col min="15626" max="15626" width="16.44140625" bestFit="1" customWidth="1"/>
    <col min="15627" max="15627" width="18.5546875" customWidth="1"/>
    <col min="15628" max="15628" width="0" hidden="1" customWidth="1"/>
    <col min="15630" max="15630" width="69.88671875" bestFit="1" customWidth="1"/>
    <col min="15880" max="15880" width="69.6640625" bestFit="1" customWidth="1"/>
    <col min="15881" max="15881" width="15" bestFit="1" customWidth="1"/>
    <col min="15882" max="15882" width="16.44140625" bestFit="1" customWidth="1"/>
    <col min="15883" max="15883" width="18.5546875" customWidth="1"/>
    <col min="15884" max="15884" width="0" hidden="1" customWidth="1"/>
    <col min="15886" max="15886" width="69.88671875" bestFit="1" customWidth="1"/>
    <col min="16136" max="16136" width="69.6640625" bestFit="1" customWidth="1"/>
    <col min="16137" max="16137" width="15" bestFit="1" customWidth="1"/>
    <col min="16138" max="16138" width="16.44140625" bestFit="1" customWidth="1"/>
    <col min="16139" max="16139" width="18.5546875" customWidth="1"/>
    <col min="16140" max="16140" width="0" hidden="1" customWidth="1"/>
    <col min="16142" max="16142" width="69.88671875" bestFit="1" customWidth="1"/>
  </cols>
  <sheetData>
    <row r="1" spans="1:13" ht="15.6" x14ac:dyDescent="0.3">
      <c r="A1" s="1" t="s">
        <v>18</v>
      </c>
      <c r="I1" s="24">
        <f ca="1">NOW()</f>
        <v>42121.625458101851</v>
      </c>
      <c r="J1" s="24"/>
      <c r="K1" s="24"/>
      <c r="L1" s="24"/>
    </row>
    <row r="2" spans="1:13" ht="15.6" x14ac:dyDescent="0.3">
      <c r="A2" s="1" t="s">
        <v>22</v>
      </c>
    </row>
    <row r="3" spans="1:13" ht="15.6" x14ac:dyDescent="0.3">
      <c r="A3" s="1"/>
    </row>
    <row r="4" spans="1:13" ht="16.2" thickBot="1" x14ac:dyDescent="0.35">
      <c r="A4" s="5" t="s">
        <v>49</v>
      </c>
    </row>
    <row r="6" spans="1:13" ht="16.2" thickBot="1" x14ac:dyDescent="0.35">
      <c r="A6" s="5" t="s">
        <v>23</v>
      </c>
      <c r="B6" s="75"/>
      <c r="C6" s="75"/>
      <c r="D6" s="75"/>
      <c r="E6" s="75"/>
      <c r="F6" s="75"/>
      <c r="G6" s="75"/>
      <c r="H6" s="75"/>
      <c r="K6" s="75"/>
      <c r="L6" s="75"/>
    </row>
    <row r="7" spans="1:13" s="3" customFormat="1" ht="31.8" thickBot="1" x14ac:dyDescent="0.35">
      <c r="A7" s="2" t="s">
        <v>1</v>
      </c>
      <c r="B7" s="88" t="s">
        <v>19</v>
      </c>
      <c r="C7" s="88" t="s">
        <v>84</v>
      </c>
      <c r="D7" s="88" t="s">
        <v>21</v>
      </c>
      <c r="E7" s="88" t="s">
        <v>86</v>
      </c>
      <c r="F7" s="88"/>
      <c r="G7" s="88"/>
      <c r="H7" s="88" t="s">
        <v>85</v>
      </c>
      <c r="I7" s="88" t="s">
        <v>20</v>
      </c>
      <c r="J7" s="88"/>
      <c r="K7" s="88"/>
      <c r="L7" s="88"/>
    </row>
    <row r="8" spans="1:13" s="6" customFormat="1" ht="16.2" thickBot="1" x14ac:dyDescent="0.35">
      <c r="A8" s="1" t="s">
        <v>0</v>
      </c>
      <c r="B8" s="95">
        <v>4710057</v>
      </c>
      <c r="C8" s="82"/>
      <c r="D8" s="95">
        <f>+B32</f>
        <v>3440466.641900003</v>
      </c>
      <c r="E8" s="102"/>
      <c r="F8" s="82"/>
      <c r="G8" s="82"/>
      <c r="H8" s="82"/>
      <c r="I8" s="95">
        <f>+D32</f>
        <v>1304384.7214970887</v>
      </c>
      <c r="J8" s="102"/>
      <c r="K8" s="82"/>
      <c r="L8" s="82"/>
    </row>
    <row r="9" spans="1:13" x14ac:dyDescent="0.25">
      <c r="A9" s="4"/>
      <c r="B9" s="91"/>
      <c r="C9" s="80"/>
      <c r="D9" s="91"/>
      <c r="E9" s="91"/>
      <c r="F9" s="80"/>
      <c r="G9" s="80"/>
      <c r="H9" s="80"/>
      <c r="I9" s="101"/>
      <c r="J9" s="101"/>
      <c r="K9" s="81"/>
      <c r="L9" s="80"/>
    </row>
    <row r="10" spans="1:13" s="6" customFormat="1" ht="16.2" thickBot="1" x14ac:dyDescent="0.35">
      <c r="A10" s="5" t="s">
        <v>2</v>
      </c>
      <c r="B10" s="82"/>
      <c r="C10" s="82"/>
      <c r="D10" s="83"/>
      <c r="E10" s="83"/>
      <c r="F10" s="83"/>
      <c r="G10" s="83"/>
      <c r="H10" s="83"/>
      <c r="I10" s="84"/>
      <c r="J10" s="84"/>
      <c r="K10" s="84"/>
      <c r="L10" s="85"/>
    </row>
    <row r="11" spans="1:13" s="6" customFormat="1" ht="15.6" x14ac:dyDescent="0.3">
      <c r="A11" s="12" t="s">
        <v>11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5"/>
    </row>
    <row r="12" spans="1:13" s="6" customFormat="1" ht="15.6" x14ac:dyDescent="0.3">
      <c r="A12" s="12" t="s">
        <v>12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5"/>
    </row>
    <row r="13" spans="1:13" s="6" customFormat="1" ht="15.6" x14ac:dyDescent="0.3">
      <c r="A13" s="12" t="s">
        <v>10</v>
      </c>
      <c r="B13" s="80">
        <f>+'Revenue Projections'!B21</f>
        <v>1125555</v>
      </c>
      <c r="C13" s="80">
        <v>0</v>
      </c>
      <c r="D13" s="80">
        <f>+'Revenue Projections'!C21</f>
        <v>1125555</v>
      </c>
      <c r="E13" s="80"/>
      <c r="F13" s="80">
        <f>D13-B13</f>
        <v>0</v>
      </c>
      <c r="G13" s="121">
        <f>(D13-B13)/D13</f>
        <v>0</v>
      </c>
      <c r="H13" s="80">
        <v>154980</v>
      </c>
      <c r="I13" s="80">
        <f>H13+'Revenue Projections'!D21</f>
        <v>1280535</v>
      </c>
      <c r="J13" s="80"/>
      <c r="K13" s="80">
        <f>I13-D13</f>
        <v>154980</v>
      </c>
      <c r="L13" s="121">
        <f>(I13-D13)/D13</f>
        <v>0.13769207191119048</v>
      </c>
    </row>
    <row r="14" spans="1:13" s="6" customFormat="1" ht="16.2" thickBot="1" x14ac:dyDescent="0.35">
      <c r="A14" s="12" t="s">
        <v>13</v>
      </c>
      <c r="B14" s="90">
        <f>+'Revenue Projections'!B6+'Revenue Projections'!B11</f>
        <v>69216541</v>
      </c>
      <c r="C14" s="80"/>
      <c r="D14" s="90">
        <f>+'Revenue Projections'!C6+'Revenue Projections'!C11</f>
        <v>72706096.504991993</v>
      </c>
      <c r="E14" s="90"/>
      <c r="F14" s="90">
        <f t="shared" ref="F14:F15" si="0">D14-B14</f>
        <v>3489555.5049919933</v>
      </c>
      <c r="G14" s="121">
        <f>(D14-B14)/D14</f>
        <v>4.7995363150219468E-2</v>
      </c>
      <c r="H14" s="90"/>
      <c r="I14" s="90">
        <f>+'Revenue Projections'!D6+'Revenue Projections'!D11</f>
        <v>76182439.226253837</v>
      </c>
      <c r="J14" s="90"/>
      <c r="K14" s="90">
        <f>I14-D14</f>
        <v>3476342.721261844</v>
      </c>
      <c r="L14" s="121">
        <f>(I14-D14)/D14</f>
        <v>4.7813634459431591E-2</v>
      </c>
    </row>
    <row r="15" spans="1:13" s="6" customFormat="1" ht="16.2" thickBot="1" x14ac:dyDescent="0.35">
      <c r="A15" s="9" t="s">
        <v>14</v>
      </c>
      <c r="B15" s="92">
        <f>SUM(B11:B14)</f>
        <v>70342096</v>
      </c>
      <c r="C15" s="82"/>
      <c r="D15" s="92">
        <f>SUM(D11:D14)</f>
        <v>73831651.504991993</v>
      </c>
      <c r="E15" s="92"/>
      <c r="F15" s="94">
        <f t="shared" si="0"/>
        <v>3489555.5049919933</v>
      </c>
      <c r="G15" s="121">
        <f>(D15-B15)/D15</f>
        <v>4.7263679382223402E-2</v>
      </c>
      <c r="H15" s="97">
        <f>SUM(H11:H14)</f>
        <v>154980</v>
      </c>
      <c r="I15" s="97">
        <f>SUM(I11:I14)</f>
        <v>77462974.226253837</v>
      </c>
      <c r="J15" s="97"/>
      <c r="K15" s="98">
        <f>I15-D15</f>
        <v>3631322.721261844</v>
      </c>
      <c r="L15" s="121">
        <f>(I15-D15)/D15</f>
        <v>4.9183820857864984E-2</v>
      </c>
      <c r="M15" s="64">
        <f>+I15/B15-1</f>
        <v>0.10123210184487297</v>
      </c>
    </row>
    <row r="16" spans="1:13" s="6" customFormat="1" ht="15.6" x14ac:dyDescent="0.3">
      <c r="A16" s="10"/>
      <c r="B16" s="89"/>
      <c r="C16" s="82"/>
      <c r="D16" s="93"/>
      <c r="E16" s="93"/>
      <c r="F16" s="93"/>
      <c r="G16" s="122"/>
      <c r="H16" s="93"/>
      <c r="I16" s="96"/>
      <c r="J16" s="96"/>
      <c r="K16" s="96"/>
      <c r="L16" s="125"/>
    </row>
    <row r="17" spans="1:14" ht="16.2" thickBot="1" x14ac:dyDescent="0.35">
      <c r="A17" s="13" t="s">
        <v>3</v>
      </c>
      <c r="B17" s="80"/>
      <c r="C17" s="80"/>
      <c r="D17" s="80"/>
      <c r="E17" s="80"/>
      <c r="F17" s="80"/>
      <c r="G17" s="123"/>
      <c r="H17" s="80"/>
      <c r="I17" s="81"/>
      <c r="J17" s="81"/>
      <c r="K17" s="81"/>
      <c r="L17" s="126"/>
    </row>
    <row r="18" spans="1:14" ht="15.6" x14ac:dyDescent="0.3">
      <c r="A18" s="10" t="s">
        <v>24</v>
      </c>
      <c r="B18" s="80">
        <f>19434023+4165182-76814</f>
        <v>23522391</v>
      </c>
      <c r="C18" s="80">
        <v>89215</v>
      </c>
      <c r="D18" s="78">
        <f>(B18*1.02)+1046054+C18</f>
        <v>25128107.82</v>
      </c>
      <c r="E18" s="103">
        <v>-1</v>
      </c>
      <c r="F18" s="80">
        <f t="shared" ref="F18:F29" si="1">D18-B18</f>
        <v>1605716.8200000003</v>
      </c>
      <c r="G18" s="121">
        <f t="shared" ref="G18:G30" si="2">(D18-B18)/D18</f>
        <v>6.3901222945325631E-2</v>
      </c>
      <c r="H18" s="80">
        <f>90107+17129+3426-C18</f>
        <v>21447</v>
      </c>
      <c r="I18" s="78">
        <f>(D18*1.02)+H18+523076</f>
        <v>26175192.976399999</v>
      </c>
      <c r="J18" s="103">
        <v>-2</v>
      </c>
      <c r="K18" s="80">
        <f t="shared" ref="K18:K29" si="3">I18-D18</f>
        <v>1047085.1563999988</v>
      </c>
      <c r="L18" s="121">
        <f t="shared" ref="L18:L30" si="4">(I18-D18)/D18</f>
        <v>4.166987677307725E-2</v>
      </c>
      <c r="M18" s="64">
        <f t="shared" ref="M18:M30" si="5">+I18/B18-1</f>
        <v>0.11277773489948362</v>
      </c>
      <c r="N18">
        <f>30629818-29750000</f>
        <v>879818</v>
      </c>
    </row>
    <row r="19" spans="1:14" ht="15.6" x14ac:dyDescent="0.3">
      <c r="A19" s="10" t="s">
        <v>25</v>
      </c>
      <c r="B19" s="80">
        <f>4244014+48600+B40</f>
        <v>4653859.5199999996</v>
      </c>
      <c r="C19" s="80">
        <v>77203</v>
      </c>
      <c r="D19" s="79">
        <f>(B19*1.02)+C19</f>
        <v>4824139.7103999993</v>
      </c>
      <c r="E19" s="79"/>
      <c r="F19" s="80">
        <f t="shared" si="1"/>
        <v>170280.19039999973</v>
      </c>
      <c r="G19" s="121">
        <f t="shared" si="2"/>
        <v>3.5297524661838775E-2</v>
      </c>
      <c r="H19" s="80">
        <f>154405-C19</f>
        <v>77202</v>
      </c>
      <c r="I19" s="78">
        <f>(D19*1.02)+H19</f>
        <v>4997824.5046079997</v>
      </c>
      <c r="J19" s="103"/>
      <c r="K19" s="80">
        <f t="shared" si="3"/>
        <v>173684.79420800041</v>
      </c>
      <c r="L19" s="121">
        <f t="shared" si="4"/>
        <v>3.6003267864230061E-2</v>
      </c>
      <c r="M19" s="64">
        <f t="shared" si="5"/>
        <v>7.3909619130059223E-2</v>
      </c>
    </row>
    <row r="20" spans="1:14" ht="15.6" x14ac:dyDescent="0.3">
      <c r="A20" s="10" t="s">
        <v>27</v>
      </c>
      <c r="B20" s="80">
        <f>7415294+233091+76814</f>
        <v>7725199</v>
      </c>
      <c r="C20" s="80">
        <f>29820+73697</f>
        <v>103517</v>
      </c>
      <c r="D20" s="79">
        <f>(B20*1.02)+C20</f>
        <v>7983219.9800000004</v>
      </c>
      <c r="E20" s="103"/>
      <c r="F20" s="80">
        <f t="shared" si="1"/>
        <v>258020.98000000045</v>
      </c>
      <c r="G20" s="121">
        <f t="shared" si="2"/>
        <v>3.2320414650530579E-2</v>
      </c>
      <c r="H20" s="80">
        <f>55403+74434-C20</f>
        <v>26320</v>
      </c>
      <c r="I20" s="78">
        <f>(D20*1.02)+H20</f>
        <v>8169204.3796000006</v>
      </c>
      <c r="J20" s="103"/>
      <c r="K20" s="80">
        <f t="shared" si="3"/>
        <v>185984.39960000012</v>
      </c>
      <c r="L20" s="121">
        <f t="shared" si="4"/>
        <v>2.3296915288059005E-2</v>
      </c>
      <c r="M20" s="64">
        <f t="shared" si="5"/>
        <v>5.7474943959372471E-2</v>
      </c>
    </row>
    <row r="21" spans="1:14" ht="15.6" x14ac:dyDescent="0.3">
      <c r="A21" s="10" t="s">
        <v>26</v>
      </c>
      <c r="B21" s="80">
        <f>1583549+574586</f>
        <v>2158135</v>
      </c>
      <c r="C21" s="80"/>
      <c r="D21" s="79">
        <f>(B21*1.02)</f>
        <v>2201297.7000000002</v>
      </c>
      <c r="E21" s="79"/>
      <c r="F21" s="80">
        <f t="shared" si="1"/>
        <v>43162.700000000186</v>
      </c>
      <c r="G21" s="121">
        <f t="shared" si="2"/>
        <v>1.9607843137254985E-2</v>
      </c>
      <c r="H21" s="80"/>
      <c r="I21" s="78">
        <f>(D21*1.02)</f>
        <v>2245323.6540000001</v>
      </c>
      <c r="J21" s="103"/>
      <c r="K21" s="80">
        <f t="shared" si="3"/>
        <v>44025.953999999911</v>
      </c>
      <c r="L21" s="121">
        <f t="shared" si="4"/>
        <v>1.9999999999999959E-2</v>
      </c>
      <c r="M21" s="64">
        <f t="shared" si="5"/>
        <v>4.0399999999999991E-2</v>
      </c>
    </row>
    <row r="22" spans="1:14" ht="15.6" x14ac:dyDescent="0.3">
      <c r="A22" s="10" t="s">
        <v>29</v>
      </c>
      <c r="B22" s="80">
        <f>(1964243+50932+399554+3298469+23765+305462+151429+151237+55977)+((1964243+50932)*0.0763)</f>
        <v>6554825.8525</v>
      </c>
      <c r="C22" s="80"/>
      <c r="D22" s="120">
        <f>((1964243+50932+399554+3298469+23765+305462+151429+151237+55977)*1.02)+(((1964243+50932)*0.0763)*1.2083)+313846</f>
        <v>7028720.9731757501</v>
      </c>
      <c r="E22" s="103">
        <v>-1</v>
      </c>
      <c r="F22" s="80">
        <f t="shared" si="1"/>
        <v>473895.12067575008</v>
      </c>
      <c r="G22" s="121">
        <f t="shared" si="2"/>
        <v>6.7422668005219233E-2</v>
      </c>
      <c r="H22" s="80"/>
      <c r="I22" s="78">
        <f>((1964243+50932+399554+3298469+23765+305462+151429+151237+55977)*1.02)+((((1964243+50932)*0.0763)*1.2083)*1.1724)+313846+156923</f>
        <v>7217673.4128872501</v>
      </c>
      <c r="J22" s="103">
        <v>-2</v>
      </c>
      <c r="K22" s="80">
        <f t="shared" si="3"/>
        <v>188952.43971149996</v>
      </c>
      <c r="L22" s="121">
        <f t="shared" si="4"/>
        <v>2.6882905215986484E-2</v>
      </c>
      <c r="M22" s="64">
        <f t="shared" si="5"/>
        <v>0.10112359585181663</v>
      </c>
    </row>
    <row r="23" spans="1:14" ht="15.6" x14ac:dyDescent="0.3">
      <c r="A23" s="10" t="s">
        <v>28</v>
      </c>
      <c r="B23" s="80">
        <f>3846081+((6913+10986+130625+4682+108160+634032+7707+5957)*0.0288)</f>
        <v>3872261.9855999998</v>
      </c>
      <c r="C23" s="80"/>
      <c r="D23" s="79">
        <f>3846081+(((6913+10986+130625+4682+108160+634032+7707+5957)*0.0288)*1.0704)</f>
        <v>3874105.12698624</v>
      </c>
      <c r="E23" s="79"/>
      <c r="F23" s="80">
        <f t="shared" si="1"/>
        <v>1843.1413862402551</v>
      </c>
      <c r="G23" s="121">
        <f t="shared" si="2"/>
        <v>4.7575925944840826E-4</v>
      </c>
      <c r="H23" s="80"/>
      <c r="I23" s="79">
        <f>3846081+((((6913+10986+130625+4682+108160+634032+7707+5957)*0.0288)*1.0704)*1.1905)</f>
        <v>3879443.7231771187</v>
      </c>
      <c r="J23" s="79"/>
      <c r="K23" s="80">
        <f t="shared" si="3"/>
        <v>5338.5961908786558</v>
      </c>
      <c r="L23" s="121">
        <f t="shared" si="4"/>
        <v>1.3780204759264441E-3</v>
      </c>
      <c r="M23" s="64">
        <f t="shared" si="5"/>
        <v>1.854662108045968E-3</v>
      </c>
      <c r="N23" s="45"/>
    </row>
    <row r="24" spans="1:14" ht="15.6" x14ac:dyDescent="0.3">
      <c r="A24" s="10" t="s">
        <v>7</v>
      </c>
      <c r="B24" s="80">
        <v>1357910</v>
      </c>
      <c r="C24" s="80">
        <v>114988</v>
      </c>
      <c r="D24" s="79">
        <f>(B24*1.02)+C24</f>
        <v>1500056.2</v>
      </c>
      <c r="E24" s="79"/>
      <c r="F24" s="80">
        <f t="shared" si="1"/>
        <v>142146.19999999995</v>
      </c>
      <c r="G24" s="121">
        <f t="shared" si="2"/>
        <v>9.4760582970158019E-2</v>
      </c>
      <c r="H24" s="80">
        <v>4644</v>
      </c>
      <c r="I24" s="79">
        <f>(D24*1.02)+H24</f>
        <v>1534701.324</v>
      </c>
      <c r="J24" s="79"/>
      <c r="K24" s="80">
        <f t="shared" si="3"/>
        <v>34645.124000000069</v>
      </c>
      <c r="L24" s="121">
        <f t="shared" si="4"/>
        <v>2.3095884007545898E-2</v>
      </c>
      <c r="M24" s="64">
        <f t="shared" si="5"/>
        <v>0.13019369766773936</v>
      </c>
    </row>
    <row r="25" spans="1:14" ht="15.6" x14ac:dyDescent="0.3">
      <c r="A25" s="10" t="s">
        <v>8</v>
      </c>
      <c r="B25" s="80">
        <v>4723445</v>
      </c>
      <c r="C25" s="80"/>
      <c r="D25" s="79">
        <f>B25*1.02</f>
        <v>4817913.9000000004</v>
      </c>
      <c r="E25" s="79"/>
      <c r="F25" s="80">
        <f t="shared" si="1"/>
        <v>94468.900000000373</v>
      </c>
      <c r="G25" s="121">
        <f t="shared" si="2"/>
        <v>1.9607843137254978E-2</v>
      </c>
      <c r="H25" s="80"/>
      <c r="I25" s="79">
        <f>D25*1.02</f>
        <v>4914272.1780000003</v>
      </c>
      <c r="J25" s="79"/>
      <c r="K25" s="80">
        <f t="shared" si="3"/>
        <v>96358.277999999933</v>
      </c>
      <c r="L25" s="121">
        <f t="shared" si="4"/>
        <v>1.9999999999999983E-2</v>
      </c>
      <c r="M25" s="64">
        <f t="shared" si="5"/>
        <v>4.0399999999999991E-2</v>
      </c>
    </row>
    <row r="26" spans="1:14" ht="15.6" x14ac:dyDescent="0.3">
      <c r="A26" s="10" t="s">
        <v>9</v>
      </c>
      <c r="B26" s="80">
        <v>887345</v>
      </c>
      <c r="C26" s="80">
        <v>1109650</v>
      </c>
      <c r="D26" s="79">
        <f>(B26*1.02)+C26</f>
        <v>2014741.9</v>
      </c>
      <c r="E26" s="79"/>
      <c r="F26" s="80">
        <f t="shared" si="1"/>
        <v>1127396.8999999999</v>
      </c>
      <c r="G26" s="121">
        <f t="shared" si="2"/>
        <v>0.55957385906353563</v>
      </c>
      <c r="H26" s="80"/>
      <c r="I26" s="79">
        <f>(D26*1.02)-C26</f>
        <v>945386.7379999999</v>
      </c>
      <c r="J26" s="79"/>
      <c r="K26" s="80">
        <f t="shared" si="3"/>
        <v>-1069355.162</v>
      </c>
      <c r="L26" s="121">
        <f t="shared" si="4"/>
        <v>-0.53076533624480637</v>
      </c>
      <c r="M26" s="64">
        <f t="shared" si="5"/>
        <v>6.5410565225475947E-2</v>
      </c>
    </row>
    <row r="27" spans="1:14" ht="15.6" x14ac:dyDescent="0.3">
      <c r="A27" s="10" t="s">
        <v>4</v>
      </c>
      <c r="B27" s="80">
        <v>195775</v>
      </c>
      <c r="C27" s="80"/>
      <c r="D27" s="79">
        <f>B27*1.02</f>
        <v>199690.5</v>
      </c>
      <c r="E27" s="79"/>
      <c r="F27" s="80">
        <f t="shared" si="1"/>
        <v>3915.5</v>
      </c>
      <c r="G27" s="121">
        <f t="shared" si="2"/>
        <v>1.9607843137254902E-2</v>
      </c>
      <c r="H27" s="80"/>
      <c r="I27" s="79">
        <f>D27*1.02</f>
        <v>203684.31</v>
      </c>
      <c r="J27" s="79"/>
      <c r="K27" s="80">
        <f t="shared" si="3"/>
        <v>3993.8099999999977</v>
      </c>
      <c r="L27" s="121">
        <f t="shared" si="4"/>
        <v>1.999999999999999E-2</v>
      </c>
      <c r="M27" s="64">
        <f t="shared" si="5"/>
        <v>4.0399999999999991E-2</v>
      </c>
    </row>
    <row r="28" spans="1:14" ht="15.6" x14ac:dyDescent="0.3">
      <c r="A28" s="10" t="s">
        <v>68</v>
      </c>
      <c r="B28" s="80">
        <v>14707977</v>
      </c>
      <c r="C28" s="80"/>
      <c r="D28" s="79">
        <v>15118126.374832921</v>
      </c>
      <c r="E28" s="79"/>
      <c r="F28" s="80">
        <f t="shared" si="1"/>
        <v>410149.37483292073</v>
      </c>
      <c r="G28" s="121">
        <f t="shared" si="2"/>
        <v>2.7129643228521665E-2</v>
      </c>
      <c r="H28" s="80"/>
      <c r="I28" s="79">
        <v>15607846.421098607</v>
      </c>
      <c r="J28" s="79"/>
      <c r="K28" s="80">
        <f t="shared" si="3"/>
        <v>489720.04626568593</v>
      </c>
      <c r="L28" s="121">
        <f t="shared" si="4"/>
        <v>3.2392905980791427E-2</v>
      </c>
      <c r="M28" s="64">
        <f t="shared" si="5"/>
        <v>6.1182406057516125E-2</v>
      </c>
    </row>
    <row r="29" spans="1:14" ht="16.2" thickBot="1" x14ac:dyDescent="0.35">
      <c r="A29" s="10" t="s">
        <v>16</v>
      </c>
      <c r="B29" s="90">
        <v>1252562</v>
      </c>
      <c r="C29" s="90"/>
      <c r="D29" s="99">
        <f>B29*1.02</f>
        <v>1277613.24</v>
      </c>
      <c r="E29" s="99"/>
      <c r="F29" s="90">
        <f t="shared" si="1"/>
        <v>25051.239999999991</v>
      </c>
      <c r="G29" s="121">
        <f t="shared" si="2"/>
        <v>1.9607843137254895E-2</v>
      </c>
      <c r="H29" s="90"/>
      <c r="I29" s="99">
        <f>D29*1.02</f>
        <v>1303165.5048</v>
      </c>
      <c r="J29" s="99"/>
      <c r="K29" s="90">
        <f t="shared" si="3"/>
        <v>25552.264800000004</v>
      </c>
      <c r="L29" s="121">
        <f t="shared" si="4"/>
        <v>2.0000000000000004E-2</v>
      </c>
      <c r="M29" s="64">
        <f t="shared" si="5"/>
        <v>4.0399999999999991E-2</v>
      </c>
    </row>
    <row r="30" spans="1:14" s="6" customFormat="1" ht="16.2" thickBot="1" x14ac:dyDescent="0.35">
      <c r="A30" s="11" t="s">
        <v>6</v>
      </c>
      <c r="B30" s="97">
        <f>SUM(B18:B29)</f>
        <v>71611686.358099997</v>
      </c>
      <c r="C30" s="97">
        <f>SUM(C18:C29)</f>
        <v>1494573</v>
      </c>
      <c r="D30" s="97">
        <f>SUM(D18:D29)</f>
        <v>75967733.425394908</v>
      </c>
      <c r="E30" s="92"/>
      <c r="F30" s="97">
        <f>SUM(F18:F29)</f>
        <v>4356047.0672949124</v>
      </c>
      <c r="G30" s="121">
        <f t="shared" si="2"/>
        <v>5.7340753381471134E-2</v>
      </c>
      <c r="H30" s="97">
        <f>SUM(H18:H29)</f>
        <v>129613</v>
      </c>
      <c r="I30" s="97">
        <f>SUM(I18:I29)</f>
        <v>77193719.126571</v>
      </c>
      <c r="J30" s="97"/>
      <c r="K30" s="97">
        <f>SUM(K18:K29)</f>
        <v>1225985.7011760639</v>
      </c>
      <c r="L30" s="121">
        <f t="shared" si="4"/>
        <v>1.6138242460268834E-2</v>
      </c>
      <c r="M30" s="64">
        <f t="shared" si="5"/>
        <v>7.7948628950833543E-2</v>
      </c>
    </row>
    <row r="31" spans="1:14" ht="15.6" x14ac:dyDescent="0.3">
      <c r="A31" s="1"/>
      <c r="B31" s="91"/>
      <c r="C31" s="91"/>
      <c r="D31" s="91"/>
      <c r="E31" s="91"/>
      <c r="F31" s="91"/>
      <c r="G31" s="123"/>
      <c r="H31" s="91"/>
      <c r="I31" s="100"/>
      <c r="J31" s="100"/>
      <c r="K31" s="100"/>
      <c r="L31" s="126"/>
    </row>
    <row r="32" spans="1:14" s="6" customFormat="1" ht="15.6" x14ac:dyDescent="0.3">
      <c r="A32" s="1" t="s">
        <v>5</v>
      </c>
      <c r="B32" s="82">
        <f>+B8+B15-B30</f>
        <v>3440466.641900003</v>
      </c>
      <c r="C32" s="82"/>
      <c r="D32" s="82">
        <f t="shared" ref="D32:I32" si="6">+D8+D15-D30</f>
        <v>1304384.7214970887</v>
      </c>
      <c r="E32" s="82"/>
      <c r="F32" s="80"/>
      <c r="G32" s="121"/>
      <c r="H32" s="82"/>
      <c r="I32" s="82">
        <f t="shared" si="6"/>
        <v>1573639.8211799264</v>
      </c>
      <c r="J32" s="82"/>
      <c r="K32" s="82"/>
      <c r="L32" s="121"/>
    </row>
    <row r="33" spans="1:14" x14ac:dyDescent="0.25">
      <c r="A33" s="15"/>
      <c r="B33" s="86"/>
      <c r="C33" s="86"/>
      <c r="D33" s="86"/>
      <c r="E33" s="86"/>
      <c r="F33" s="86"/>
      <c r="G33" s="124"/>
      <c r="H33" s="86"/>
      <c r="I33" s="87"/>
      <c r="J33" s="87"/>
      <c r="K33" s="87"/>
      <c r="L33" s="126"/>
    </row>
    <row r="34" spans="1:14" s="6" customFormat="1" ht="15.6" x14ac:dyDescent="0.3">
      <c r="A34" s="1" t="s">
        <v>17</v>
      </c>
      <c r="B34" s="82">
        <f>+B32-B8</f>
        <v>-1269590.358099997</v>
      </c>
      <c r="C34" s="82"/>
      <c r="D34" s="82">
        <f>+D32-D8</f>
        <v>-2136081.9204029143</v>
      </c>
      <c r="E34" s="82"/>
      <c r="F34" s="82"/>
      <c r="G34" s="121"/>
      <c r="H34" s="82"/>
      <c r="I34" s="82">
        <f>+I32-I8</f>
        <v>269255.09968283772</v>
      </c>
      <c r="J34" s="82"/>
      <c r="K34" s="82"/>
      <c r="L34" s="121"/>
    </row>
    <row r="35" spans="1:14" x14ac:dyDescent="0.25">
      <c r="B35" s="21"/>
      <c r="C35" s="21"/>
      <c r="I35" s="28"/>
      <c r="J35" s="28"/>
      <c r="K35" s="28"/>
    </row>
    <row r="36" spans="1:14" x14ac:dyDescent="0.25">
      <c r="B36" s="21"/>
      <c r="C36" s="21"/>
      <c r="D36" s="34"/>
      <c r="E36" s="34"/>
      <c r="F36" s="34"/>
      <c r="G36" s="33"/>
      <c r="H36" s="34"/>
      <c r="I36" s="28"/>
      <c r="J36" s="28"/>
      <c r="K36" s="28"/>
    </row>
    <row r="37" spans="1:14" x14ac:dyDescent="0.25">
      <c r="B37" s="21"/>
      <c r="C37" s="21"/>
      <c r="D37" s="34"/>
      <c r="E37" s="34"/>
      <c r="F37" s="34"/>
      <c r="G37" s="28"/>
      <c r="H37" s="34"/>
      <c r="K37" s="28"/>
    </row>
    <row r="38" spans="1:14" ht="31.8" thickBot="1" x14ac:dyDescent="0.35">
      <c r="A38" s="2" t="s">
        <v>38</v>
      </c>
      <c r="B38" s="38" t="s">
        <v>19</v>
      </c>
      <c r="C38" s="38"/>
      <c r="D38" s="39" t="s">
        <v>21</v>
      </c>
      <c r="E38" s="39"/>
      <c r="F38" s="39"/>
      <c r="G38" s="40" t="s">
        <v>20</v>
      </c>
      <c r="H38" s="39"/>
      <c r="K38" s="77"/>
    </row>
    <row r="39" spans="1:14" x14ac:dyDescent="0.25">
      <c r="A39" t="s">
        <v>50</v>
      </c>
      <c r="B39" s="115"/>
      <c r="C39" s="115"/>
      <c r="D39" s="116">
        <f>16*85000</f>
        <v>1360000</v>
      </c>
      <c r="E39" s="116"/>
      <c r="F39" s="116"/>
      <c r="G39" s="127">
        <f>8*85000</f>
        <v>680000</v>
      </c>
      <c r="H39" s="34"/>
      <c r="K39" s="46"/>
      <c r="L39" s="52"/>
    </row>
    <row r="40" spans="1:14" x14ac:dyDescent="0.25">
      <c r="A40" t="s">
        <v>69</v>
      </c>
      <c r="B40" s="115">
        <v>361245.52</v>
      </c>
      <c r="C40" s="115"/>
      <c r="D40" s="117" t="s">
        <v>92</v>
      </c>
      <c r="E40" s="117"/>
      <c r="F40" s="117"/>
      <c r="G40" s="119" t="s">
        <v>92</v>
      </c>
      <c r="H40" s="34"/>
      <c r="K40" s="46"/>
      <c r="L40" s="52"/>
    </row>
    <row r="41" spans="1:14" x14ac:dyDescent="0.25">
      <c r="B41" s="109"/>
      <c r="C41" s="109"/>
      <c r="D41" s="110"/>
      <c r="E41" s="110"/>
      <c r="F41" s="110"/>
      <c r="G41" s="111"/>
      <c r="H41" s="34"/>
      <c r="K41" s="28"/>
    </row>
    <row r="42" spans="1:14" x14ac:dyDescent="0.25">
      <c r="B42" s="109"/>
      <c r="C42" s="109"/>
      <c r="D42" s="110"/>
      <c r="E42" s="110"/>
      <c r="F42" s="110"/>
      <c r="G42" s="111"/>
      <c r="H42" s="34"/>
      <c r="K42" s="28"/>
    </row>
    <row r="43" spans="1:14" ht="15.6" thickBot="1" x14ac:dyDescent="0.3">
      <c r="A43" s="37" t="s">
        <v>32</v>
      </c>
      <c r="B43" s="110"/>
      <c r="C43" s="110"/>
      <c r="D43" s="109"/>
      <c r="E43" s="109"/>
      <c r="F43" s="109"/>
      <c r="G43" s="111"/>
      <c r="H43" s="21"/>
      <c r="K43" s="28"/>
    </row>
    <row r="44" spans="1:14" ht="15.6" thickTop="1" x14ac:dyDescent="0.25">
      <c r="A44" t="s">
        <v>33</v>
      </c>
      <c r="B44" s="112">
        <v>247</v>
      </c>
      <c r="C44" s="112"/>
      <c r="D44" s="113">
        <f>263+12</f>
        <v>275</v>
      </c>
      <c r="E44" s="113"/>
      <c r="F44" s="113"/>
      <c r="G44" s="112">
        <f>275+8</f>
        <v>283</v>
      </c>
      <c r="H44" s="63"/>
      <c r="K44" s="118"/>
      <c r="L44" s="47"/>
      <c r="M44" s="47"/>
      <c r="N44" s="48"/>
    </row>
    <row r="45" spans="1:14" x14ac:dyDescent="0.25">
      <c r="A45" t="s">
        <v>34</v>
      </c>
      <c r="B45" s="112">
        <v>125</v>
      </c>
      <c r="C45" s="112"/>
      <c r="D45" s="113">
        <v>138</v>
      </c>
      <c r="E45" s="113"/>
      <c r="F45" s="113"/>
      <c r="G45" s="112">
        <v>146</v>
      </c>
      <c r="H45" s="63"/>
      <c r="K45" s="62"/>
    </row>
    <row r="46" spans="1:14" x14ac:dyDescent="0.25">
      <c r="A46" t="s">
        <v>51</v>
      </c>
      <c r="B46" s="113">
        <v>131.86000000000001</v>
      </c>
      <c r="C46" s="113"/>
      <c r="D46" s="113">
        <v>132.86000000000001</v>
      </c>
      <c r="E46" s="113"/>
      <c r="F46" s="113"/>
      <c r="G46" s="112">
        <v>132.86000000000001</v>
      </c>
      <c r="H46" s="63"/>
      <c r="K46" s="62"/>
    </row>
    <row r="47" spans="1:14" ht="15.6" thickBot="1" x14ac:dyDescent="0.3">
      <c r="A47" t="s">
        <v>31</v>
      </c>
      <c r="B47" s="113">
        <v>32.5</v>
      </c>
      <c r="C47" s="113"/>
      <c r="D47" s="113">
        <v>34.75</v>
      </c>
      <c r="E47" s="113"/>
      <c r="F47" s="113"/>
      <c r="G47" s="113">
        <v>34.75</v>
      </c>
      <c r="H47" s="63"/>
      <c r="K47" s="63"/>
    </row>
    <row r="48" spans="1:14" ht="15.6" thickBot="1" x14ac:dyDescent="0.3">
      <c r="A48" t="s">
        <v>52</v>
      </c>
      <c r="B48" s="114">
        <f>SUM(B44:B47)</f>
        <v>536.36</v>
      </c>
      <c r="C48" s="114"/>
      <c r="D48" s="114">
        <f t="shared" ref="D48" si="7">SUM(D44:D47)</f>
        <v>580.61</v>
      </c>
      <c r="E48" s="114"/>
      <c r="F48" s="114"/>
      <c r="G48" s="114">
        <f>SUM(G44:G47)</f>
        <v>596.61</v>
      </c>
      <c r="H48" s="61"/>
      <c r="K48" s="76"/>
      <c r="L48" s="76"/>
    </row>
    <row r="49" spans="1:12" ht="15.6" thickBot="1" x14ac:dyDescent="0.3">
      <c r="K49" s="35"/>
    </row>
    <row r="50" spans="1:12" ht="15.6" thickBot="1" x14ac:dyDescent="0.3">
      <c r="A50" s="104" t="s">
        <v>89</v>
      </c>
    </row>
    <row r="51" spans="1:12" x14ac:dyDescent="0.25">
      <c r="A51" s="108" t="s">
        <v>88</v>
      </c>
    </row>
    <row r="52" spans="1:12" ht="16.2" thickBot="1" x14ac:dyDescent="0.35">
      <c r="A52" s="105" t="s">
        <v>87</v>
      </c>
      <c r="B52" s="41"/>
      <c r="C52" s="41"/>
      <c r="D52" s="41"/>
      <c r="E52" s="23"/>
      <c r="F52" s="23"/>
      <c r="G52" s="23"/>
      <c r="H52" s="23"/>
      <c r="I52" s="107"/>
      <c r="J52" s="107"/>
      <c r="K52" s="107"/>
      <c r="L52" s="41"/>
    </row>
    <row r="53" spans="1:12" x14ac:dyDescent="0.25">
      <c r="A53" t="s">
        <v>91</v>
      </c>
      <c r="B53" s="106">
        <v>233</v>
      </c>
      <c r="D53">
        <v>263</v>
      </c>
      <c r="G53">
        <v>271</v>
      </c>
    </row>
    <row r="54" spans="1:12" x14ac:dyDescent="0.25">
      <c r="A54" t="s">
        <v>93</v>
      </c>
    </row>
    <row r="56" spans="1:12" x14ac:dyDescent="0.25">
      <c r="A56" s="108" t="s">
        <v>90</v>
      </c>
      <c r="B56" s="33"/>
    </row>
    <row r="57" spans="1:12" ht="16.2" thickBot="1" x14ac:dyDescent="0.35">
      <c r="A57" s="105" t="s">
        <v>87</v>
      </c>
      <c r="B57" s="33"/>
    </row>
    <row r="58" spans="1:12" x14ac:dyDescent="0.25">
      <c r="A58" t="s">
        <v>94</v>
      </c>
      <c r="B58" s="34"/>
    </row>
    <row r="59" spans="1:12" x14ac:dyDescent="0.25">
      <c r="A59" t="s">
        <v>93</v>
      </c>
    </row>
    <row r="60" spans="1:12" x14ac:dyDescent="0.25">
      <c r="B60" s="34"/>
    </row>
  </sheetData>
  <printOptions gridLines="1"/>
  <pageMargins left="0.7" right="0.7" top="0.75" bottom="0.75" header="0.3" footer="0.3"/>
  <pageSetup scale="9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topLeftCell="A10" workbookViewId="0">
      <selection activeCell="B21" sqref="B21"/>
    </sheetView>
  </sheetViews>
  <sheetFormatPr defaultRowHeight="15" x14ac:dyDescent="0.25"/>
  <cols>
    <col min="1" max="1" width="65.109375" bestFit="1" customWidth="1"/>
    <col min="2" max="2" width="14.44140625" style="16" customWidth="1"/>
    <col min="3" max="3" width="16.44140625" style="16" bestFit="1" customWidth="1"/>
    <col min="4" max="4" width="18.5546875" style="25" customWidth="1"/>
    <col min="5" max="5" width="0" hidden="1" customWidth="1"/>
  </cols>
  <sheetData>
    <row r="1" spans="1:5" ht="15.6" x14ac:dyDescent="0.3">
      <c r="A1" s="1" t="s">
        <v>18</v>
      </c>
      <c r="E1" s="24">
        <f ca="1">NOW()</f>
        <v>42121.625458101851</v>
      </c>
    </row>
    <row r="2" spans="1:5" ht="15.6" x14ac:dyDescent="0.3">
      <c r="A2" s="1" t="s">
        <v>22</v>
      </c>
    </row>
    <row r="3" spans="1:5" ht="15.6" x14ac:dyDescent="0.3">
      <c r="A3" s="1"/>
    </row>
    <row r="4" spans="1:5" ht="16.2" thickBot="1" x14ac:dyDescent="0.35">
      <c r="A4" s="5" t="s">
        <v>53</v>
      </c>
    </row>
    <row r="6" spans="1:5" ht="16.2" thickBot="1" x14ac:dyDescent="0.35">
      <c r="A6" s="5" t="s">
        <v>23</v>
      </c>
      <c r="B6" s="23"/>
      <c r="C6" s="23"/>
    </row>
    <row r="7" spans="1:5" s="3" customFormat="1" ht="31.8" thickBot="1" x14ac:dyDescent="0.35">
      <c r="A7" s="2" t="s">
        <v>1</v>
      </c>
      <c r="B7" s="17" t="s">
        <v>19</v>
      </c>
      <c r="C7" s="26" t="s">
        <v>21</v>
      </c>
      <c r="D7" s="26" t="s">
        <v>20</v>
      </c>
    </row>
    <row r="8" spans="1:5" s="6" customFormat="1" ht="16.2" thickBot="1" x14ac:dyDescent="0.35">
      <c r="A8" s="1" t="s">
        <v>0</v>
      </c>
      <c r="B8" s="18">
        <f>+[1]Summary!$D$71</f>
        <v>4476134.5495275659</v>
      </c>
      <c r="C8" s="18">
        <f>+B33</f>
        <v>3953509.5195275657</v>
      </c>
      <c r="D8" s="18">
        <f>+C33</f>
        <v>6169683.7995275632</v>
      </c>
    </row>
    <row r="9" spans="1:5" x14ac:dyDescent="0.25">
      <c r="A9" s="4"/>
      <c r="B9" s="19"/>
      <c r="C9" s="19"/>
    </row>
    <row r="10" spans="1:5" s="6" customFormat="1" ht="16.2" thickBot="1" x14ac:dyDescent="0.35">
      <c r="A10" s="5" t="s">
        <v>2</v>
      </c>
      <c r="B10" s="32"/>
      <c r="C10" s="8"/>
      <c r="D10" s="27"/>
    </row>
    <row r="11" spans="1:5" s="6" customFormat="1" ht="15.6" x14ac:dyDescent="0.3">
      <c r="A11" s="12" t="s">
        <v>11</v>
      </c>
      <c r="B11" s="20">
        <f>+'Revenue Projections'!B17</f>
        <v>3000</v>
      </c>
      <c r="C11" s="20">
        <f>+'Revenue Projections'!C17</f>
        <v>3000</v>
      </c>
      <c r="D11" s="20">
        <f>+'Revenue Projections'!D17</f>
        <v>3000</v>
      </c>
    </row>
    <row r="12" spans="1:5" s="6" customFormat="1" ht="15.6" x14ac:dyDescent="0.3">
      <c r="A12" s="12" t="s">
        <v>12</v>
      </c>
      <c r="B12" s="20"/>
      <c r="C12" s="20"/>
      <c r="D12" s="20"/>
    </row>
    <row r="13" spans="1:5" s="6" customFormat="1" ht="15.6" x14ac:dyDescent="0.3">
      <c r="A13" s="12" t="s">
        <v>10</v>
      </c>
      <c r="B13" s="20">
        <f>+'Revenue Projections'!B22</f>
        <v>339000</v>
      </c>
      <c r="C13" s="20">
        <f>+'Revenue Projections'!C22</f>
        <v>339000</v>
      </c>
      <c r="D13" s="20">
        <f>+'Revenue Projections'!D22</f>
        <v>339000</v>
      </c>
    </row>
    <row r="14" spans="1:5" s="6" customFormat="1" ht="16.2" thickBot="1" x14ac:dyDescent="0.35">
      <c r="A14" s="12" t="s">
        <v>13</v>
      </c>
      <c r="B14" s="20">
        <f>+'Revenue Projections'!B7+'Revenue Projections'!B12</f>
        <v>19116945</v>
      </c>
      <c r="C14" s="20">
        <f>+'Revenue Projections'!C7+'Revenue Projections'!C12</f>
        <v>19499283.899999999</v>
      </c>
      <c r="D14" s="20">
        <f>+'Revenue Projections'!D7+'Revenue Projections'!D12</f>
        <v>20030210.66268</v>
      </c>
    </row>
    <row r="15" spans="1:5" s="6" customFormat="1" ht="16.2" hidden="1" thickBot="1" x14ac:dyDescent="0.35">
      <c r="A15" s="12" t="s">
        <v>13</v>
      </c>
      <c r="B15" s="20"/>
      <c r="C15" s="14"/>
      <c r="D15" s="28">
        <f>+'[2]2010-11 Carryover'!H16</f>
        <v>0</v>
      </c>
    </row>
    <row r="16" spans="1:5" s="6" customFormat="1" ht="16.2" thickBot="1" x14ac:dyDescent="0.35">
      <c r="A16" s="9" t="s">
        <v>14</v>
      </c>
      <c r="B16" s="18">
        <f>SUM(B11:B15)</f>
        <v>19458945</v>
      </c>
      <c r="C16" s="18">
        <f t="shared" ref="C16:D16" si="0">SUM(C11:C15)</f>
        <v>19841283.899999999</v>
      </c>
      <c r="D16" s="18">
        <f t="shared" si="0"/>
        <v>20372210.66268</v>
      </c>
    </row>
    <row r="17" spans="1:4" s="6" customFormat="1" ht="15.6" x14ac:dyDescent="0.3">
      <c r="A17" s="10"/>
      <c r="B17" s="32"/>
      <c r="C17" s="8"/>
      <c r="D17" s="27"/>
    </row>
    <row r="18" spans="1:4" ht="16.2" thickBot="1" x14ac:dyDescent="0.35">
      <c r="A18" s="13" t="s">
        <v>3</v>
      </c>
      <c r="B18" s="19"/>
      <c r="C18" s="19"/>
    </row>
    <row r="19" spans="1:4" ht="15.6" x14ac:dyDescent="0.3">
      <c r="A19" s="10" t="s">
        <v>24</v>
      </c>
      <c r="B19" s="20">
        <f>3670733.94+2051766.42</f>
        <v>5722500.3599999994</v>
      </c>
      <c r="C19" s="20">
        <f>3747004.37+2151766.42</f>
        <v>5898770.79</v>
      </c>
      <c r="D19" s="20">
        <f>4010949.55+2251766.42</f>
        <v>6262715.9699999997</v>
      </c>
    </row>
    <row r="20" spans="1:4" ht="15.6" x14ac:dyDescent="0.3">
      <c r="A20" s="10" t="s">
        <v>25</v>
      </c>
      <c r="B20" s="20">
        <f>894473.15+322722.11+56410.14+247136.45+380595.74+2817.83+29688+172266.77</f>
        <v>2106110.19</v>
      </c>
      <c r="C20" s="20">
        <f>978108.92+335949.26+129040.83+291846.45+391462.56+29688+172266.77</f>
        <v>2328362.79</v>
      </c>
      <c r="D20" s="20">
        <f>1110971.9+348977.38+136230.23+307447.69+402870.01+29688+172266.77</f>
        <v>2508451.98</v>
      </c>
    </row>
    <row r="21" spans="1:4" ht="15.6" x14ac:dyDescent="0.3">
      <c r="A21" s="10" t="s">
        <v>27</v>
      </c>
      <c r="B21" s="20">
        <f>636053.96+57834.88+1926648.36+30400+11000+11540</f>
        <v>2673477.2000000002</v>
      </c>
      <c r="C21" s="20">
        <f>664442.32+62096.41+2218754.6+30400+1000+10000+11540</f>
        <v>2998233.33</v>
      </c>
      <c r="D21" s="20">
        <f>689612.17+66671.93+2316557.45+30400+11000+11540</f>
        <v>3125781.5500000003</v>
      </c>
    </row>
    <row r="22" spans="1:4" ht="15.6" x14ac:dyDescent="0.3">
      <c r="A22" s="10" t="s">
        <v>26</v>
      </c>
      <c r="B22" s="20">
        <f>86860.92+28500+80000+1500</f>
        <v>196860.91999999998</v>
      </c>
      <c r="C22" s="20">
        <f>111135.63+128500+350+1500</f>
        <v>241485.63</v>
      </c>
      <c r="D22" s="20">
        <f>116158.33+128500+350+1500</f>
        <v>246508.33000000002</v>
      </c>
    </row>
    <row r="23" spans="1:4" ht="15.6" x14ac:dyDescent="0.3">
      <c r="A23" s="10" t="s">
        <v>29</v>
      </c>
      <c r="B23" s="20">
        <f>436222.68+589856.05+17267.96+20066.97+203770.22+4681.2+325.98</f>
        <v>1272191.0599999998</v>
      </c>
      <c r="C23" s="20">
        <f>514606.09+614112.83+23183.47+26050.57+238519+325.98+5850.06</f>
        <v>1422648</v>
      </c>
      <c r="D23" s="20">
        <f>625058.36+656298.29+26855.52+26571.58+278764.18+325.98+5850.06</f>
        <v>1619723.97</v>
      </c>
    </row>
    <row r="24" spans="1:4" ht="15.6" x14ac:dyDescent="0.3">
      <c r="A24" s="10" t="s">
        <v>28</v>
      </c>
      <c r="B24" s="20">
        <f>111702.97+38351.65+6703.67+29369.2+45229.24+334.87+132774.99+12072.92+386024.26+120376.33+119638.24+11496.77+70992.54+353525.62+14370.96+113250.68+14594.16+567127.14+19770.97+347.72+1294.65</f>
        <v>2169349.5500000003</v>
      </c>
      <c r="C24" s="20">
        <f>141408.17+46138.6+17722.21+40081.61+53762.69+144873.67+13539.38+471706.25+124000.71+59879.48+26385.08+48958.99+52770.17+115515.67+14886.04+648956.91+22386.28+347.72+1294.65</f>
        <v>2044614.2799999998</v>
      </c>
      <c r="D24" s="20">
        <f>166205.95+54383.94+21229.85+47912.03+62782.46+166912.35+16137.14+546197.85+141664.48+61077.08+26912.79+49938.18+53825.58+117825.98+15183.76+661936.02+25001.6+347.72+1294.65</f>
        <v>2236769.4100000006</v>
      </c>
    </row>
    <row r="25" spans="1:4" ht="15.6" x14ac:dyDescent="0.3">
      <c r="A25" s="10" t="s">
        <v>7</v>
      </c>
      <c r="B25" s="20">
        <v>413076.6</v>
      </c>
      <c r="C25" s="20">
        <v>421338.13</v>
      </c>
      <c r="D25" s="20">
        <v>429764.89</v>
      </c>
    </row>
    <row r="26" spans="1:4" ht="15.6" x14ac:dyDescent="0.3">
      <c r="A26" s="10" t="s">
        <v>8</v>
      </c>
      <c r="B26" s="20">
        <v>1722666.05</v>
      </c>
      <c r="C26" s="20">
        <v>1976088.33</v>
      </c>
      <c r="D26" s="20">
        <v>2015610.09</v>
      </c>
    </row>
    <row r="27" spans="1:4" ht="15.6" x14ac:dyDescent="0.3">
      <c r="A27" s="10" t="s">
        <v>9</v>
      </c>
      <c r="B27" s="20">
        <v>287812.09999999998</v>
      </c>
      <c r="C27" s="20">
        <v>293568.34000000003</v>
      </c>
      <c r="D27" s="20">
        <v>299439.71000000002</v>
      </c>
    </row>
    <row r="28" spans="1:4" ht="15.6" x14ac:dyDescent="0.3">
      <c r="A28" s="10" t="s">
        <v>4</v>
      </c>
      <c r="B28" s="20"/>
      <c r="C28" s="20"/>
      <c r="D28" s="20"/>
    </row>
    <row r="29" spans="1:4" ht="15.6" x14ac:dyDescent="0.3">
      <c r="A29" s="10" t="s">
        <v>68</v>
      </c>
      <c r="B29" s="20">
        <v>3417526</v>
      </c>
      <c r="C29" s="20">
        <f>-DO!C29*[3]Sheet1!$F$16</f>
        <v>0</v>
      </c>
      <c r="D29" s="20">
        <f>-DO!D29*[3]Sheet1!$G$16</f>
        <v>0</v>
      </c>
    </row>
    <row r="30" spans="1:4" ht="16.2" thickBot="1" x14ac:dyDescent="0.35">
      <c r="A30" s="10" t="s">
        <v>16</v>
      </c>
      <c r="B30" s="20"/>
      <c r="C30" s="20"/>
      <c r="D30" s="20"/>
    </row>
    <row r="31" spans="1:4" s="6" customFormat="1" ht="15.6" x14ac:dyDescent="0.3">
      <c r="A31" s="11" t="s">
        <v>6</v>
      </c>
      <c r="B31" s="60">
        <f>SUM(B18:B30)</f>
        <v>19981570.030000001</v>
      </c>
      <c r="C31" s="60">
        <f t="shared" ref="C31:D31" si="1">SUM(C18:C30)</f>
        <v>17625109.620000001</v>
      </c>
      <c r="D31" s="60">
        <f t="shared" si="1"/>
        <v>18744765.900000002</v>
      </c>
    </row>
    <row r="32" spans="1:4" ht="15.6" x14ac:dyDescent="0.3">
      <c r="A32" s="1"/>
      <c r="B32" s="19"/>
      <c r="C32" s="19"/>
      <c r="D32" s="29"/>
    </row>
    <row r="33" spans="1:4" s="6" customFormat="1" ht="16.2" thickBot="1" x14ac:dyDescent="0.35">
      <c r="A33" s="1" t="s">
        <v>5</v>
      </c>
      <c r="B33" s="30">
        <f>+B8+B16-B31</f>
        <v>3953509.5195275657</v>
      </c>
      <c r="C33" s="7">
        <f>+C8+C16-C31</f>
        <v>6169683.7995275632</v>
      </c>
      <c r="D33" s="30">
        <f>+D8+D16-D31</f>
        <v>7797128.562207561</v>
      </c>
    </row>
    <row r="34" spans="1:4" x14ac:dyDescent="0.25">
      <c r="A34" s="15"/>
      <c r="B34" s="21"/>
      <c r="C34" s="21"/>
      <c r="D34" s="31"/>
    </row>
    <row r="35" spans="1:4" s="6" customFormat="1" ht="16.2" thickBot="1" x14ac:dyDescent="0.35">
      <c r="A35" s="1" t="s">
        <v>17</v>
      </c>
      <c r="B35" s="30">
        <f>+B33-B8</f>
        <v>-522625.03000000026</v>
      </c>
      <c r="C35" s="30">
        <f t="shared" ref="C35:D35" si="2">+C33-C8</f>
        <v>2216174.2799999975</v>
      </c>
      <c r="D35" s="30">
        <f t="shared" si="2"/>
        <v>1627444.7626799978</v>
      </c>
    </row>
    <row r="36" spans="1:4" x14ac:dyDescent="0.25">
      <c r="B36" s="21"/>
      <c r="D36" s="28"/>
    </row>
    <row r="37" spans="1:4" x14ac:dyDescent="0.25">
      <c r="B37" s="21"/>
      <c r="C37" s="34"/>
      <c r="D37" s="28"/>
    </row>
    <row r="38" spans="1:4" x14ac:dyDescent="0.25">
      <c r="B38" s="21"/>
      <c r="C38" s="34"/>
      <c r="D38" s="28"/>
    </row>
    <row r="39" spans="1:4" ht="31.8" thickBot="1" x14ac:dyDescent="0.35">
      <c r="A39" s="2" t="s">
        <v>38</v>
      </c>
      <c r="B39" s="38" t="s">
        <v>19</v>
      </c>
      <c r="C39" s="39" t="s">
        <v>21</v>
      </c>
      <c r="D39" s="40" t="s">
        <v>20</v>
      </c>
    </row>
    <row r="40" spans="1:4" ht="13.2" x14ac:dyDescent="0.25">
      <c r="A40" t="s">
        <v>35</v>
      </c>
      <c r="B40" s="21" t="s">
        <v>54</v>
      </c>
      <c r="C40" s="34">
        <f>93691.87*1.65</f>
        <v>154591.58549999999</v>
      </c>
      <c r="D40" s="46">
        <f>96876.98*2</f>
        <v>193753.96</v>
      </c>
    </row>
    <row r="41" spans="1:4" ht="13.2" x14ac:dyDescent="0.25">
      <c r="A41" t="s">
        <v>36</v>
      </c>
      <c r="B41" s="21">
        <v>0</v>
      </c>
      <c r="C41" s="34">
        <v>0</v>
      </c>
      <c r="D41" s="46">
        <v>0</v>
      </c>
    </row>
    <row r="42" spans="1:4" ht="13.2" x14ac:dyDescent="0.25">
      <c r="A42" t="s">
        <v>37</v>
      </c>
      <c r="B42" s="21">
        <v>0</v>
      </c>
      <c r="C42" s="34">
        <v>0</v>
      </c>
      <c r="D42" s="46">
        <v>0</v>
      </c>
    </row>
    <row r="43" spans="1:4" ht="13.2" x14ac:dyDescent="0.25">
      <c r="A43" t="s">
        <v>55</v>
      </c>
      <c r="B43" s="21"/>
      <c r="C43" s="34">
        <v>100000</v>
      </c>
      <c r="D43" s="46"/>
    </row>
    <row r="44" spans="1:4" ht="13.2" x14ac:dyDescent="0.25">
      <c r="A44" t="s">
        <v>56</v>
      </c>
      <c r="B44" s="21"/>
      <c r="C44" s="34"/>
      <c r="D44" s="46">
        <v>100000</v>
      </c>
    </row>
    <row r="45" spans="1:4" ht="13.2" x14ac:dyDescent="0.25">
      <c r="A45" t="s">
        <v>57</v>
      </c>
      <c r="B45" s="21"/>
      <c r="C45" s="34">
        <v>50000</v>
      </c>
      <c r="D45" s="46"/>
    </row>
    <row r="46" spans="1:4" ht="13.2" x14ac:dyDescent="0.25">
      <c r="A46" t="s">
        <v>58</v>
      </c>
      <c r="B46" s="21"/>
      <c r="C46" s="34">
        <v>100000</v>
      </c>
      <c r="D46" s="46"/>
    </row>
    <row r="47" spans="1:4" ht="13.2" x14ac:dyDescent="0.25">
      <c r="A47" t="s">
        <v>59</v>
      </c>
      <c r="B47" s="21"/>
      <c r="C47" s="34">
        <v>58000</v>
      </c>
      <c r="D47" s="46"/>
    </row>
    <row r="48" spans="1:4" ht="13.2" x14ac:dyDescent="0.25">
      <c r="A48" t="s">
        <v>60</v>
      </c>
      <c r="B48" s="21"/>
      <c r="C48" s="34">
        <v>29000</v>
      </c>
      <c r="D48" s="46"/>
    </row>
    <row r="49" spans="1:4" ht="13.2" x14ac:dyDescent="0.25">
      <c r="B49" s="21"/>
      <c r="C49" s="34"/>
      <c r="D49" s="46"/>
    </row>
    <row r="50" spans="1:4" ht="13.8" thickBot="1" x14ac:dyDescent="0.3">
      <c r="A50" s="37" t="s">
        <v>32</v>
      </c>
      <c r="B50" s="33"/>
      <c r="C50" s="21"/>
      <c r="D50" s="46"/>
    </row>
    <row r="51" spans="1:4" ht="13.8" thickTop="1" x14ac:dyDescent="0.25">
      <c r="A51" t="s">
        <v>33</v>
      </c>
      <c r="B51" s="49">
        <v>53.07</v>
      </c>
      <c r="C51" s="33">
        <v>54.72</v>
      </c>
      <c r="D51" s="50">
        <v>56.72</v>
      </c>
    </row>
    <row r="52" spans="1:4" ht="13.2" x14ac:dyDescent="0.25">
      <c r="A52" t="s">
        <v>34</v>
      </c>
      <c r="B52" s="49">
        <v>65.14</v>
      </c>
      <c r="C52" s="33">
        <v>68.31</v>
      </c>
      <c r="D52" s="50">
        <v>71.48</v>
      </c>
    </row>
    <row r="53" spans="1:4" ht="13.2" x14ac:dyDescent="0.25">
      <c r="A53" t="s">
        <v>30</v>
      </c>
      <c r="B53" s="33">
        <v>43.49</v>
      </c>
      <c r="C53" s="33">
        <v>47.95</v>
      </c>
      <c r="D53" s="50">
        <v>47.95</v>
      </c>
    </row>
    <row r="54" spans="1:4" ht="13.2" x14ac:dyDescent="0.25">
      <c r="A54" t="s">
        <v>31</v>
      </c>
      <c r="B54" s="33">
        <v>16.047999999999998</v>
      </c>
      <c r="C54" s="33">
        <v>17</v>
      </c>
      <c r="D54" s="50">
        <v>18</v>
      </c>
    </row>
    <row r="55" spans="1:4" x14ac:dyDescent="0.25">
      <c r="B55" s="22"/>
    </row>
    <row r="56" spans="1:4" x14ac:dyDescent="0.25">
      <c r="D56" s="35"/>
    </row>
  </sheetData>
  <printOptions gridLines="1"/>
  <pageMargins left="0.7" right="0.7" top="0.75" bottom="0.75" header="0.3" footer="0.3"/>
  <pageSetup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opLeftCell="A7" workbookViewId="0">
      <selection activeCell="C21" sqref="C21"/>
    </sheetView>
  </sheetViews>
  <sheetFormatPr defaultRowHeight="15" x14ac:dyDescent="0.25"/>
  <cols>
    <col min="1" max="1" width="65.33203125" bestFit="1" customWidth="1"/>
    <col min="2" max="2" width="18.6640625" hidden="1" customWidth="1"/>
    <col min="3" max="3" width="15" style="16" bestFit="1" customWidth="1"/>
    <col min="4" max="4" width="16.44140625" style="16" bestFit="1" customWidth="1"/>
    <col min="5" max="5" width="18.5546875" style="25" customWidth="1"/>
    <col min="6" max="6" width="0" hidden="1" customWidth="1"/>
  </cols>
  <sheetData>
    <row r="1" spans="1:6" ht="15.6" x14ac:dyDescent="0.3">
      <c r="A1" s="1" t="s">
        <v>18</v>
      </c>
      <c r="B1" s="1"/>
      <c r="F1" s="24">
        <f ca="1">NOW()</f>
        <v>42121.625458101851</v>
      </c>
    </row>
    <row r="2" spans="1:6" ht="15.6" x14ac:dyDescent="0.3">
      <c r="A2" s="1" t="s">
        <v>22</v>
      </c>
      <c r="B2" s="1"/>
    </row>
    <row r="3" spans="1:6" ht="15.6" x14ac:dyDescent="0.3">
      <c r="A3" s="1"/>
      <c r="B3" s="1"/>
    </row>
    <row r="4" spans="1:6" ht="16.2" thickBot="1" x14ac:dyDescent="0.35">
      <c r="A4" s="5" t="s">
        <v>61</v>
      </c>
      <c r="B4" s="51"/>
    </row>
    <row r="6" spans="1:6" ht="16.2" thickBot="1" x14ac:dyDescent="0.35">
      <c r="A6" s="5" t="s">
        <v>23</v>
      </c>
      <c r="B6" s="5"/>
      <c r="C6" s="23"/>
      <c r="D6" s="23"/>
    </row>
    <row r="7" spans="1:6" s="3" customFormat="1" ht="31.8" thickBot="1" x14ac:dyDescent="0.35">
      <c r="A7" s="2" t="s">
        <v>1</v>
      </c>
      <c r="B7" s="17" t="s">
        <v>62</v>
      </c>
      <c r="C7" s="17" t="s">
        <v>19</v>
      </c>
      <c r="D7" s="26" t="s">
        <v>21</v>
      </c>
      <c r="E7" s="26" t="s">
        <v>20</v>
      </c>
    </row>
    <row r="8" spans="1:6" s="6" customFormat="1" ht="16.2" thickBot="1" x14ac:dyDescent="0.35">
      <c r="A8" s="1" t="s">
        <v>0</v>
      </c>
      <c r="B8" s="18"/>
      <c r="C8" s="18">
        <f>+[1]Summary!$E$71</f>
        <v>5640907.9579990637</v>
      </c>
      <c r="D8" s="18">
        <f>+C32</f>
        <v>5941357.6979990676</v>
      </c>
      <c r="E8" s="18">
        <f>+D32</f>
        <v>9423094.9426830653</v>
      </c>
    </row>
    <row r="9" spans="1:6" x14ac:dyDescent="0.25">
      <c r="A9" s="4"/>
      <c r="B9" s="19"/>
      <c r="C9" s="19"/>
      <c r="D9" s="19"/>
    </row>
    <row r="10" spans="1:6" s="6" customFormat="1" ht="16.2" thickBot="1" x14ac:dyDescent="0.35">
      <c r="A10" s="5" t="s">
        <v>2</v>
      </c>
      <c r="B10" s="32"/>
      <c r="C10" s="32"/>
      <c r="D10" s="8"/>
      <c r="E10" s="27"/>
    </row>
    <row r="11" spans="1:6" s="6" customFormat="1" ht="15.6" x14ac:dyDescent="0.3">
      <c r="A11" s="12" t="s">
        <v>11</v>
      </c>
      <c r="B11" s="20"/>
      <c r="C11" s="20">
        <f>+'Revenue Projections'!B18</f>
        <v>0</v>
      </c>
      <c r="D11" s="20">
        <f>+'Revenue Projections'!C18</f>
        <v>0</v>
      </c>
      <c r="E11" s="20">
        <f>+'Revenue Projections'!D18</f>
        <v>0</v>
      </c>
    </row>
    <row r="12" spans="1:6" s="6" customFormat="1" ht="15.6" x14ac:dyDescent="0.3">
      <c r="A12" s="12" t="s">
        <v>12</v>
      </c>
      <c r="B12" s="20"/>
      <c r="C12" s="20"/>
      <c r="D12" s="20"/>
      <c r="E12" s="20"/>
    </row>
    <row r="13" spans="1:6" s="6" customFormat="1" ht="15.6" x14ac:dyDescent="0.3">
      <c r="A13" s="12" t="s">
        <v>10</v>
      </c>
      <c r="B13" s="20"/>
      <c r="C13" s="20">
        <f>+'Revenue Projections'!B23</f>
        <v>250952</v>
      </c>
      <c r="D13" s="20">
        <f>+'Revenue Projections'!C23</f>
        <v>250952</v>
      </c>
      <c r="E13" s="20">
        <f>+'Revenue Projections'!D23</f>
        <v>250952</v>
      </c>
    </row>
    <row r="14" spans="1:6" s="6" customFormat="1" ht="16.2" thickBot="1" x14ac:dyDescent="0.35">
      <c r="A14" s="12" t="s">
        <v>13</v>
      </c>
      <c r="B14" s="20"/>
      <c r="C14" s="20">
        <f>+'Revenue Projections'!B8+'Revenue Projections'!B13</f>
        <v>18724708</v>
      </c>
      <c r="D14" s="20">
        <f>+'Revenue Projections'!C8+'Revenue Projections'!C13</f>
        <v>19514174.333483998</v>
      </c>
      <c r="E14" s="20">
        <f>+'Revenue Projections'!D8+'Revenue Projections'!D13</f>
        <v>20330828.249143679</v>
      </c>
    </row>
    <row r="15" spans="1:6" s="6" customFormat="1" ht="16.2" thickBot="1" x14ac:dyDescent="0.35">
      <c r="A15" s="9" t="s">
        <v>14</v>
      </c>
      <c r="B15" s="18">
        <f>SUM(B11:B14)</f>
        <v>0</v>
      </c>
      <c r="C15" s="18">
        <f>SUM(C11:C14)</f>
        <v>18975660</v>
      </c>
      <c r="D15" s="18">
        <f>SUM(D11:D14)</f>
        <v>19765126.333483998</v>
      </c>
      <c r="E15" s="18">
        <f>SUM(E11:E14)</f>
        <v>20581780.249143679</v>
      </c>
    </row>
    <row r="16" spans="1:6" s="6" customFormat="1" ht="15.6" x14ac:dyDescent="0.3">
      <c r="A16" s="10"/>
      <c r="B16" s="32"/>
      <c r="C16" s="32"/>
      <c r="D16" s="8"/>
      <c r="E16" s="27"/>
    </row>
    <row r="17" spans="1:8" ht="16.2" thickBot="1" x14ac:dyDescent="0.35">
      <c r="A17" s="13" t="s">
        <v>3</v>
      </c>
      <c r="B17" s="19"/>
      <c r="C17" s="19"/>
      <c r="D17" s="19"/>
    </row>
    <row r="18" spans="1:8" ht="15.6" x14ac:dyDescent="0.3">
      <c r="A18" s="10" t="s">
        <v>24</v>
      </c>
      <c r="B18" s="20">
        <v>6008998</v>
      </c>
      <c r="C18" s="20">
        <v>5933848</v>
      </c>
      <c r="D18" s="20">
        <v>6071503</v>
      </c>
      <c r="E18" s="20">
        <v>6343591</v>
      </c>
    </row>
    <row r="19" spans="1:8" ht="15.6" x14ac:dyDescent="0.3">
      <c r="A19" s="10" t="s">
        <v>25</v>
      </c>
      <c r="B19" s="20">
        <v>1734824</v>
      </c>
      <c r="C19" s="20">
        <v>1714824</v>
      </c>
      <c r="D19" s="20">
        <v>1795417</v>
      </c>
      <c r="E19" s="20">
        <v>1847563</v>
      </c>
    </row>
    <row r="20" spans="1:8" ht="15.6" x14ac:dyDescent="0.3">
      <c r="A20" s="10" t="s">
        <v>27</v>
      </c>
      <c r="B20" s="20">
        <v>2421685</v>
      </c>
      <c r="C20" s="20">
        <v>2196064</v>
      </c>
      <c r="D20" s="20">
        <v>2998233.33</v>
      </c>
      <c r="E20" s="20">
        <v>3125781.5500000003</v>
      </c>
    </row>
    <row r="21" spans="1:8" ht="15.6" x14ac:dyDescent="0.3">
      <c r="A21" s="10" t="s">
        <v>26</v>
      </c>
      <c r="B21" s="20">
        <v>226960</v>
      </c>
      <c r="C21" s="20">
        <v>178424</v>
      </c>
      <c r="D21" s="20">
        <v>241485.63</v>
      </c>
      <c r="E21" s="20">
        <v>246508.33000000002</v>
      </c>
    </row>
    <row r="22" spans="1:8" ht="15.6" x14ac:dyDescent="0.3">
      <c r="A22" s="10" t="s">
        <v>29</v>
      </c>
      <c r="B22" s="20"/>
      <c r="C22" s="20">
        <v>1355300</v>
      </c>
      <c r="D22" s="20">
        <v>1417019</v>
      </c>
      <c r="E22" s="20">
        <v>1615145.97</v>
      </c>
    </row>
    <row r="23" spans="1:8" ht="15.6" x14ac:dyDescent="0.3">
      <c r="A23" s="10" t="s">
        <v>28</v>
      </c>
      <c r="B23" s="20">
        <v>2695951</v>
      </c>
      <c r="C23" s="20">
        <v>1964855.82</v>
      </c>
      <c r="D23" s="20">
        <f>1964855.82+4578</f>
        <v>1969433.82</v>
      </c>
      <c r="E23" s="20">
        <f>2236769-6367</f>
        <v>2230402</v>
      </c>
    </row>
    <row r="24" spans="1:8" ht="15.6" x14ac:dyDescent="0.3">
      <c r="A24" s="10" t="s">
        <v>7</v>
      </c>
      <c r="B24" s="20">
        <v>286637</v>
      </c>
      <c r="C24" s="20">
        <v>288642.27</v>
      </c>
      <c r="D24" s="20">
        <v>294415.11540000001</v>
      </c>
      <c r="E24" s="20">
        <v>300303.41770799999</v>
      </c>
      <c r="H24" s="52"/>
    </row>
    <row r="25" spans="1:8" ht="15.6" x14ac:dyDescent="0.3">
      <c r="A25" s="10" t="s">
        <v>8</v>
      </c>
      <c r="B25" s="20">
        <v>1107582</v>
      </c>
      <c r="C25" s="20">
        <v>1126091.05</v>
      </c>
      <c r="D25" s="20">
        <f t="shared" ref="D25:E26" si="0">C25*1.02</f>
        <v>1148612.871</v>
      </c>
      <c r="E25" s="20">
        <f t="shared" si="0"/>
        <v>1171585.12842</v>
      </c>
    </row>
    <row r="26" spans="1:8" ht="15.6" x14ac:dyDescent="0.3">
      <c r="A26" s="10" t="s">
        <v>9</v>
      </c>
      <c r="B26" s="20">
        <v>352661</v>
      </c>
      <c r="C26" s="20">
        <v>340460.12</v>
      </c>
      <c r="D26" s="20">
        <f t="shared" si="0"/>
        <v>347269.3224</v>
      </c>
      <c r="E26" s="20">
        <f t="shared" si="0"/>
        <v>354214.70884800004</v>
      </c>
    </row>
    <row r="27" spans="1:8" ht="15.6" x14ac:dyDescent="0.3">
      <c r="A27" s="10" t="s">
        <v>4</v>
      </c>
      <c r="B27" s="20"/>
      <c r="C27" s="20"/>
      <c r="D27" s="20"/>
      <c r="E27" s="20"/>
    </row>
    <row r="28" spans="1:8" ht="15.6" x14ac:dyDescent="0.3">
      <c r="A28" s="10" t="s">
        <v>68</v>
      </c>
      <c r="B28" s="20"/>
      <c r="C28" s="20">
        <v>3576701</v>
      </c>
      <c r="D28" s="20">
        <f>-DO!C29*[3]Sheet1!$F$17</f>
        <v>0</v>
      </c>
      <c r="E28" s="20">
        <f>-DO!D29*[3]Sheet1!$G$17</f>
        <v>0</v>
      </c>
    </row>
    <row r="29" spans="1:8" ht="16.2" thickBot="1" x14ac:dyDescent="0.35">
      <c r="A29" s="10" t="s">
        <v>16</v>
      </c>
      <c r="B29" s="20">
        <f>3576701+146363</f>
        <v>3723064</v>
      </c>
      <c r="C29" s="20"/>
      <c r="D29" s="20"/>
      <c r="E29" s="20"/>
    </row>
    <row r="30" spans="1:8" s="6" customFormat="1" ht="15.6" x14ac:dyDescent="0.3">
      <c r="A30" s="11" t="s">
        <v>6</v>
      </c>
      <c r="B30" s="36">
        <f>SUM(B17:B29)</f>
        <v>18558362</v>
      </c>
      <c r="C30" s="60">
        <f>SUM(C17:C29)</f>
        <v>18675210.259999998</v>
      </c>
      <c r="D30" s="60">
        <f>SUM(D17:D29)</f>
        <v>16283389.0888</v>
      </c>
      <c r="E30" s="60">
        <f>SUM(E17:E29)</f>
        <v>17235095.104976002</v>
      </c>
    </row>
    <row r="31" spans="1:8" ht="15.6" x14ac:dyDescent="0.3">
      <c r="A31" s="1"/>
      <c r="B31" s="19"/>
      <c r="C31" s="19"/>
      <c r="D31" s="19"/>
      <c r="E31" s="29"/>
    </row>
    <row r="32" spans="1:8" s="6" customFormat="1" ht="16.2" thickBot="1" x14ac:dyDescent="0.35">
      <c r="A32" s="1" t="s">
        <v>5</v>
      </c>
      <c r="B32" s="30">
        <f>+B8+B15-B30</f>
        <v>-18558362</v>
      </c>
      <c r="C32" s="30">
        <f>+C8+C15-C30</f>
        <v>5941357.6979990676</v>
      </c>
      <c r="D32" s="7">
        <f>+D8+D15-D30</f>
        <v>9423094.9426830653</v>
      </c>
      <c r="E32" s="30">
        <f>+E8+E15-E30</f>
        <v>12769780.086850744</v>
      </c>
    </row>
    <row r="33" spans="1:10" x14ac:dyDescent="0.25">
      <c r="A33" s="15"/>
      <c r="B33" s="21"/>
      <c r="C33" s="21"/>
      <c r="D33" s="21"/>
      <c r="E33" s="31"/>
    </row>
    <row r="34" spans="1:10" s="6" customFormat="1" ht="16.2" thickBot="1" x14ac:dyDescent="0.35">
      <c r="A34" s="1" t="s">
        <v>17</v>
      </c>
      <c r="B34" s="30">
        <f>+B32-B8</f>
        <v>-18558362</v>
      </c>
      <c r="C34" s="30">
        <f>+C32-C8</f>
        <v>300449.74000000395</v>
      </c>
      <c r="D34" s="30">
        <f>+D32-D8</f>
        <v>3481737.2446839977</v>
      </c>
      <c r="E34" s="30">
        <f>+E32-E8</f>
        <v>3346685.1441676784</v>
      </c>
      <c r="H34" s="6" t="s">
        <v>42</v>
      </c>
      <c r="I34" s="6">
        <v>90</v>
      </c>
      <c r="J34" s="58">
        <f>I34/I37</f>
        <v>0.6</v>
      </c>
    </row>
    <row r="35" spans="1:10" x14ac:dyDescent="0.25">
      <c r="C35" s="21"/>
      <c r="E35" s="28"/>
      <c r="H35" t="s">
        <v>63</v>
      </c>
      <c r="I35">
        <v>20</v>
      </c>
      <c r="J35" s="58">
        <f>I35/I$37</f>
        <v>0.13333333333333333</v>
      </c>
    </row>
    <row r="36" spans="1:10" x14ac:dyDescent="0.25">
      <c r="C36" s="21"/>
      <c r="D36" s="34"/>
      <c r="E36" s="28"/>
      <c r="H36" t="s">
        <v>44</v>
      </c>
      <c r="I36">
        <v>40</v>
      </c>
      <c r="J36" s="58">
        <f>I36/I$37</f>
        <v>0.26666666666666666</v>
      </c>
    </row>
    <row r="37" spans="1:10" x14ac:dyDescent="0.25">
      <c r="C37" s="21"/>
      <c r="D37" s="34"/>
      <c r="E37" s="28"/>
      <c r="I37">
        <f>SUM(I34:I36)</f>
        <v>150</v>
      </c>
    </row>
    <row r="38" spans="1:10" ht="31.8" thickBot="1" x14ac:dyDescent="0.35">
      <c r="A38" s="2" t="s">
        <v>38</v>
      </c>
      <c r="B38" s="2"/>
      <c r="C38" s="38" t="s">
        <v>19</v>
      </c>
      <c r="D38" s="39" t="s">
        <v>21</v>
      </c>
      <c r="E38" s="40" t="s">
        <v>20</v>
      </c>
    </row>
    <row r="39" spans="1:10" ht="13.2" x14ac:dyDescent="0.25">
      <c r="A39" t="s">
        <v>35</v>
      </c>
      <c r="C39" s="21" t="s">
        <v>54</v>
      </c>
      <c r="D39" s="53">
        <f>93691.87*2</f>
        <v>187383.74</v>
      </c>
      <c r="E39" s="54">
        <f>96876.98*2</f>
        <v>193753.96</v>
      </c>
    </row>
    <row r="40" spans="1:10" ht="13.2" x14ac:dyDescent="0.25">
      <c r="A40" t="s">
        <v>64</v>
      </c>
      <c r="C40" s="21">
        <v>0</v>
      </c>
      <c r="D40" s="34">
        <v>0</v>
      </c>
      <c r="E40" s="46">
        <v>0</v>
      </c>
    </row>
    <row r="41" spans="1:10" ht="13.2" x14ac:dyDescent="0.25">
      <c r="A41" t="s">
        <v>65</v>
      </c>
      <c r="C41" s="21">
        <v>2619</v>
      </c>
      <c r="D41" s="21">
        <v>2619</v>
      </c>
      <c r="E41" s="21">
        <v>2619</v>
      </c>
      <c r="F41" s="21">
        <v>2619</v>
      </c>
    </row>
    <row r="42" spans="1:10" ht="13.2" x14ac:dyDescent="0.25">
      <c r="A42" t="s">
        <v>37</v>
      </c>
      <c r="C42" s="21">
        <v>0</v>
      </c>
      <c r="D42" s="34">
        <v>0</v>
      </c>
      <c r="E42" s="46">
        <v>0</v>
      </c>
    </row>
    <row r="43" spans="1:10" ht="13.2" x14ac:dyDescent="0.25">
      <c r="A43" t="s">
        <v>55</v>
      </c>
      <c r="C43" s="21"/>
      <c r="D43" s="34">
        <f>24900+15000</f>
        <v>39900</v>
      </c>
      <c r="E43" s="46"/>
    </row>
    <row r="44" spans="1:10" ht="13.2" x14ac:dyDescent="0.25">
      <c r="A44" t="s">
        <v>59</v>
      </c>
      <c r="C44" s="21"/>
      <c r="D44" s="53">
        <v>42000</v>
      </c>
      <c r="E44" s="46"/>
    </row>
    <row r="45" spans="1:10" ht="13.2" x14ac:dyDescent="0.25">
      <c r="C45" s="21"/>
      <c r="D45" s="34"/>
      <c r="E45" s="46"/>
    </row>
    <row r="46" spans="1:10" ht="13.8" thickBot="1" x14ac:dyDescent="0.3">
      <c r="A46" s="37" t="s">
        <v>32</v>
      </c>
      <c r="B46" s="55"/>
      <c r="C46" s="33"/>
      <c r="D46" s="21"/>
      <c r="E46" s="46"/>
    </row>
    <row r="47" spans="1:10" ht="13.8" thickTop="1" x14ac:dyDescent="0.25">
      <c r="A47" t="s">
        <v>66</v>
      </c>
      <c r="C47" s="56">
        <f>47.64+2.95+1</f>
        <v>51.59</v>
      </c>
      <c r="D47" s="56">
        <f>47.64+2.95+1+2</f>
        <v>53.59</v>
      </c>
      <c r="E47" s="56">
        <f>47.64+2.95+1+2</f>
        <v>53.59</v>
      </c>
      <c r="F47" s="56">
        <f t="shared" ref="F47" si="1">47.64+2.95+1</f>
        <v>51.59</v>
      </c>
    </row>
    <row r="48" spans="1:10" ht="13.2" x14ac:dyDescent="0.25">
      <c r="A48" t="s">
        <v>34</v>
      </c>
      <c r="C48" s="56">
        <v>57.74</v>
      </c>
      <c r="D48" s="56">
        <v>57.74</v>
      </c>
      <c r="E48" s="56">
        <v>57.74</v>
      </c>
      <c r="F48" s="56">
        <v>60.74</v>
      </c>
    </row>
    <row r="49" spans="1:6" ht="13.2" x14ac:dyDescent="0.25">
      <c r="A49" t="s">
        <v>30</v>
      </c>
      <c r="C49" s="57">
        <f>35.85+1.05+2.82+0.72</f>
        <v>40.44</v>
      </c>
      <c r="D49" s="57">
        <f>35.85+1.05+2.82+0.72+0.75</f>
        <v>41.19</v>
      </c>
      <c r="E49" s="57">
        <f>35.85+1.05+2.82+0.72+0.75</f>
        <v>41.19</v>
      </c>
      <c r="F49" s="57">
        <f t="shared" ref="F49" si="2">35.85+1.05+2.82+0.72</f>
        <v>40.44</v>
      </c>
    </row>
    <row r="50" spans="1:6" ht="13.2" x14ac:dyDescent="0.25">
      <c r="A50" t="s">
        <v>31</v>
      </c>
      <c r="C50" s="57">
        <f>4.38+1+6.5</f>
        <v>11.879999999999999</v>
      </c>
      <c r="D50" s="57">
        <f t="shared" ref="D50:F50" si="3">4.38+1+6.5</f>
        <v>11.879999999999999</v>
      </c>
      <c r="E50" s="57">
        <f t="shared" si="3"/>
        <v>11.879999999999999</v>
      </c>
      <c r="F50" s="57">
        <f t="shared" si="3"/>
        <v>11.879999999999999</v>
      </c>
    </row>
    <row r="51" spans="1:6" x14ac:dyDescent="0.25">
      <c r="C51" s="22"/>
    </row>
    <row r="52" spans="1:6" x14ac:dyDescent="0.25">
      <c r="E52" s="35"/>
    </row>
  </sheetData>
  <printOptions gridLines="1"/>
  <pageMargins left="0.7" right="0.7" top="0.75" bottom="0.75" header="0.3" footer="0.3"/>
  <pageSetup scale="83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topLeftCell="A13" workbookViewId="0">
      <selection activeCell="B51" sqref="B51"/>
    </sheetView>
  </sheetViews>
  <sheetFormatPr defaultRowHeight="15" x14ac:dyDescent="0.25"/>
  <cols>
    <col min="1" max="1" width="65.33203125" bestFit="1" customWidth="1"/>
    <col min="2" max="2" width="15.109375" style="16" bestFit="1" customWidth="1"/>
    <col min="3" max="3" width="16.44140625" style="16" bestFit="1" customWidth="1"/>
    <col min="4" max="4" width="18.5546875" style="25" customWidth="1"/>
    <col min="5" max="5" width="0" hidden="1" customWidth="1"/>
  </cols>
  <sheetData>
    <row r="1" spans="1:5" ht="15.6" x14ac:dyDescent="0.3">
      <c r="A1" s="1" t="s">
        <v>18</v>
      </c>
      <c r="E1" s="24">
        <f ca="1">NOW()</f>
        <v>42121.625458101851</v>
      </c>
    </row>
    <row r="2" spans="1:5" ht="15.6" x14ac:dyDescent="0.3">
      <c r="A2" s="1" t="s">
        <v>22</v>
      </c>
    </row>
    <row r="3" spans="1:5" ht="15.6" x14ac:dyDescent="0.3">
      <c r="A3" s="1"/>
    </row>
    <row r="4" spans="1:5" ht="16.2" thickBot="1" x14ac:dyDescent="0.35">
      <c r="A4" s="5" t="s">
        <v>67</v>
      </c>
    </row>
    <row r="6" spans="1:5" ht="16.2" thickBot="1" x14ac:dyDescent="0.35">
      <c r="A6" s="5" t="s">
        <v>23</v>
      </c>
      <c r="B6" s="23"/>
      <c r="C6" s="23"/>
    </row>
    <row r="7" spans="1:5" s="3" customFormat="1" ht="31.8" thickBot="1" x14ac:dyDescent="0.35">
      <c r="A7" s="2" t="s">
        <v>1</v>
      </c>
      <c r="B7" s="17" t="s">
        <v>19</v>
      </c>
      <c r="C7" s="26" t="s">
        <v>21</v>
      </c>
      <c r="D7" s="26" t="s">
        <v>20</v>
      </c>
    </row>
    <row r="8" spans="1:5" s="6" customFormat="1" ht="16.2" thickBot="1" x14ac:dyDescent="0.35">
      <c r="A8" s="1" t="s">
        <v>0</v>
      </c>
      <c r="B8" s="18"/>
      <c r="C8" s="18"/>
      <c r="D8" s="18"/>
    </row>
    <row r="9" spans="1:5" x14ac:dyDescent="0.25">
      <c r="A9" s="4"/>
      <c r="B9" s="19"/>
      <c r="C9" s="19"/>
    </row>
    <row r="10" spans="1:5" s="6" customFormat="1" ht="16.2" thickBot="1" x14ac:dyDescent="0.35">
      <c r="A10" s="5" t="s">
        <v>2</v>
      </c>
      <c r="B10" s="32"/>
      <c r="C10" s="8"/>
      <c r="D10" s="27"/>
    </row>
    <row r="11" spans="1:5" s="6" customFormat="1" ht="15.6" x14ac:dyDescent="0.3">
      <c r="A11" s="12" t="s">
        <v>11</v>
      </c>
      <c r="B11" s="20"/>
      <c r="C11" s="20"/>
      <c r="D11" s="20"/>
    </row>
    <row r="12" spans="1:5" s="6" customFormat="1" ht="15.6" x14ac:dyDescent="0.3">
      <c r="A12" s="12" t="s">
        <v>12</v>
      </c>
      <c r="B12" s="20"/>
      <c r="C12" s="20"/>
      <c r="D12" s="20"/>
    </row>
    <row r="13" spans="1:5" s="6" customFormat="1" ht="15.6" x14ac:dyDescent="0.3">
      <c r="A13" s="12" t="s">
        <v>10</v>
      </c>
      <c r="B13" s="20"/>
      <c r="C13" s="20"/>
      <c r="D13" s="20"/>
    </row>
    <row r="14" spans="1:5" s="6" customFormat="1" ht="15.6" x14ac:dyDescent="0.3">
      <c r="A14" s="12" t="s">
        <v>15</v>
      </c>
    </row>
    <row r="15" spans="1:5" s="6" customFormat="1" ht="16.2" thickBot="1" x14ac:dyDescent="0.35">
      <c r="A15" s="12" t="s">
        <v>13</v>
      </c>
      <c r="B15" s="20"/>
      <c r="C15" s="20"/>
      <c r="D15" s="20"/>
    </row>
    <row r="16" spans="1:5" s="6" customFormat="1" ht="16.2" thickBot="1" x14ac:dyDescent="0.35">
      <c r="A16" s="9" t="s">
        <v>14</v>
      </c>
      <c r="B16" s="18">
        <f>SUM(B11:B15)</f>
        <v>0</v>
      </c>
      <c r="C16" s="18">
        <f>SUM(C11:C15)</f>
        <v>0</v>
      </c>
      <c r="D16" s="18">
        <f>SUM(D11:D15)</f>
        <v>0</v>
      </c>
    </row>
    <row r="17" spans="1:4" s="6" customFormat="1" ht="15.6" x14ac:dyDescent="0.3">
      <c r="A17" s="10"/>
      <c r="B17" s="32"/>
      <c r="C17" s="8"/>
      <c r="D17" s="27"/>
    </row>
    <row r="18" spans="1:4" ht="16.2" thickBot="1" x14ac:dyDescent="0.35">
      <c r="A18" s="13" t="s">
        <v>3</v>
      </c>
      <c r="B18" s="19"/>
      <c r="C18" s="19"/>
    </row>
    <row r="19" spans="1:4" ht="15.6" x14ac:dyDescent="0.3">
      <c r="A19" s="10" t="s">
        <v>24</v>
      </c>
      <c r="B19" s="20"/>
      <c r="C19" s="20"/>
      <c r="D19" s="20"/>
    </row>
    <row r="20" spans="1:4" ht="15.6" x14ac:dyDescent="0.3">
      <c r="A20" s="10" t="s">
        <v>25</v>
      </c>
      <c r="B20" s="20">
        <v>653961</v>
      </c>
      <c r="C20" s="20">
        <f>+B20*1.02</f>
        <v>667040.22</v>
      </c>
      <c r="D20" s="20">
        <f>+C20*1.02</f>
        <v>680381.02439999999</v>
      </c>
    </row>
    <row r="21" spans="1:4" ht="15.6" x14ac:dyDescent="0.3">
      <c r="A21" s="10" t="s">
        <v>27</v>
      </c>
      <c r="B21" s="20">
        <v>6691661</v>
      </c>
      <c r="C21" s="20">
        <f>+B21*1.02</f>
        <v>6825494.2199999997</v>
      </c>
      <c r="D21" s="20">
        <f>+C21*1.02</f>
        <v>6962004.1043999996</v>
      </c>
    </row>
    <row r="22" spans="1:4" ht="15.6" x14ac:dyDescent="0.3">
      <c r="A22" s="10" t="s">
        <v>26</v>
      </c>
      <c r="B22" s="20"/>
      <c r="C22" s="20"/>
      <c r="D22" s="20"/>
    </row>
    <row r="23" spans="1:4" ht="15.6" x14ac:dyDescent="0.3">
      <c r="A23" s="10" t="s">
        <v>29</v>
      </c>
      <c r="B23" s="20"/>
      <c r="C23" s="20"/>
      <c r="D23" s="20"/>
    </row>
    <row r="24" spans="1:4" ht="15.6" x14ac:dyDescent="0.3">
      <c r="A24" s="10" t="s">
        <v>28</v>
      </c>
      <c r="B24" s="20">
        <v>2687400</v>
      </c>
      <c r="C24" s="20">
        <f>((+B24-B43-B44)*1.02)+(C43+C44-B43-B44)+B43+B44</f>
        <v>2786583.8043999998</v>
      </c>
      <c r="D24" s="20">
        <f>((+C24-C43-C44)*1.02)+(D43+D44-C43-C44)+C43+C44</f>
        <v>2979753.6417897595</v>
      </c>
    </row>
    <row r="25" spans="1:4" ht="15.6" x14ac:dyDescent="0.3">
      <c r="A25" s="10" t="s">
        <v>7</v>
      </c>
      <c r="B25" s="20">
        <v>196715</v>
      </c>
      <c r="C25" s="20">
        <f>+B25*1.02</f>
        <v>200649.30000000002</v>
      </c>
      <c r="D25" s="20">
        <f>+C25*1.02</f>
        <v>204662.28600000002</v>
      </c>
    </row>
    <row r="26" spans="1:4" ht="15.6" x14ac:dyDescent="0.3">
      <c r="A26" s="10" t="s">
        <v>8</v>
      </c>
      <c r="B26" s="20">
        <v>5868978</v>
      </c>
      <c r="C26" s="20">
        <f t="shared" ref="C26:D30" si="0">+B26*1.02</f>
        <v>5986357.5600000005</v>
      </c>
      <c r="D26" s="20">
        <f t="shared" si="0"/>
        <v>6106084.7112000007</v>
      </c>
    </row>
    <row r="27" spans="1:4" ht="15.6" x14ac:dyDescent="0.3">
      <c r="A27" s="10" t="s">
        <v>9</v>
      </c>
      <c r="B27" s="20">
        <v>360600</v>
      </c>
      <c r="C27" s="20">
        <f t="shared" si="0"/>
        <v>367812</v>
      </c>
      <c r="D27" s="20">
        <f t="shared" si="0"/>
        <v>375168.24</v>
      </c>
    </row>
    <row r="28" spans="1:4" ht="15.6" x14ac:dyDescent="0.3">
      <c r="A28" s="10" t="s">
        <v>4</v>
      </c>
      <c r="B28" s="20">
        <v>5727925</v>
      </c>
      <c r="C28" s="20">
        <f>(+B28-740035)*1.02</f>
        <v>5087647.8</v>
      </c>
      <c r="D28" s="20">
        <f t="shared" si="0"/>
        <v>5189400.7560000001</v>
      </c>
    </row>
    <row r="29" spans="1:4" ht="15.6" x14ac:dyDescent="0.3">
      <c r="A29" s="10" t="s">
        <v>68</v>
      </c>
      <c r="B29" s="20">
        <v>-21702204</v>
      </c>
      <c r="C29" s="20">
        <v>-22181685</v>
      </c>
      <c r="D29" s="20">
        <v>-22762757</v>
      </c>
    </row>
    <row r="30" spans="1:4" ht="16.2" thickBot="1" x14ac:dyDescent="0.35">
      <c r="A30" s="10" t="s">
        <v>16</v>
      </c>
      <c r="B30" s="20">
        <v>372734</v>
      </c>
      <c r="C30" s="20">
        <f>(+B30-117734)*1.02</f>
        <v>260100</v>
      </c>
      <c r="D30" s="20">
        <f t="shared" si="0"/>
        <v>265302</v>
      </c>
    </row>
    <row r="31" spans="1:4" s="6" customFormat="1" ht="15.6" x14ac:dyDescent="0.3">
      <c r="A31" s="11" t="s">
        <v>6</v>
      </c>
      <c r="B31" s="60">
        <f>SUM(B18:B30)</f>
        <v>857770</v>
      </c>
      <c r="C31" s="60">
        <f t="shared" ref="C31:D31" si="1">SUM(C18:C30)</f>
        <v>-9.5599997788667679E-2</v>
      </c>
      <c r="D31" s="60">
        <f t="shared" si="1"/>
        <v>-0.23621024191379547</v>
      </c>
    </row>
    <row r="32" spans="1:4" ht="15.6" x14ac:dyDescent="0.3">
      <c r="A32" s="1"/>
      <c r="B32" s="19"/>
      <c r="C32" s="19"/>
      <c r="D32" s="29"/>
    </row>
    <row r="33" spans="1:4" s="6" customFormat="1" ht="16.2" thickBot="1" x14ac:dyDescent="0.35">
      <c r="A33" s="1" t="s">
        <v>5</v>
      </c>
      <c r="B33" s="30">
        <f>+B8+B16-B31</f>
        <v>-857770</v>
      </c>
      <c r="C33" s="7">
        <f>+C8+C16-C31</f>
        <v>9.5599997788667679E-2</v>
      </c>
      <c r="D33" s="30">
        <f>+D8+D16-D31</f>
        <v>0.23621024191379547</v>
      </c>
    </row>
    <row r="34" spans="1:4" x14ac:dyDescent="0.25">
      <c r="A34" s="15"/>
      <c r="B34" s="21"/>
      <c r="C34" s="21"/>
      <c r="D34" s="31"/>
    </row>
    <row r="35" spans="1:4" s="6" customFormat="1" ht="16.2" thickBot="1" x14ac:dyDescent="0.35">
      <c r="A35" s="1" t="s">
        <v>17</v>
      </c>
      <c r="B35" s="30">
        <f>+B33-B8</f>
        <v>-857770</v>
      </c>
      <c r="C35" s="30">
        <f t="shared" ref="C35:D35" si="2">+C33-C8</f>
        <v>9.5599997788667679E-2</v>
      </c>
      <c r="D35" s="30">
        <f t="shared" si="2"/>
        <v>0.23621024191379547</v>
      </c>
    </row>
    <row r="36" spans="1:4" x14ac:dyDescent="0.25">
      <c r="B36" s="21"/>
      <c r="D36" s="28"/>
    </row>
    <row r="37" spans="1:4" x14ac:dyDescent="0.25">
      <c r="B37" s="21"/>
      <c r="C37" s="34"/>
      <c r="D37" s="28"/>
    </row>
    <row r="38" spans="1:4" x14ac:dyDescent="0.25">
      <c r="B38" s="21"/>
      <c r="C38" s="34"/>
      <c r="D38" s="28"/>
    </row>
    <row r="39" spans="1:4" ht="31.8" thickBot="1" x14ac:dyDescent="0.35">
      <c r="A39" s="2" t="s">
        <v>38</v>
      </c>
      <c r="B39" s="38" t="s">
        <v>19</v>
      </c>
      <c r="C39" s="39" t="s">
        <v>21</v>
      </c>
      <c r="D39" s="40" t="s">
        <v>20</v>
      </c>
    </row>
    <row r="40" spans="1:4" x14ac:dyDescent="0.25">
      <c r="A40" t="s">
        <v>35</v>
      </c>
      <c r="B40" s="21"/>
      <c r="C40" s="34"/>
      <c r="D40" s="28"/>
    </row>
    <row r="41" spans="1:4" x14ac:dyDescent="0.25">
      <c r="A41" t="s">
        <v>36</v>
      </c>
      <c r="B41" s="21"/>
      <c r="C41" s="34"/>
      <c r="D41" s="28"/>
    </row>
    <row r="42" spans="1:4" x14ac:dyDescent="0.25">
      <c r="A42" t="s">
        <v>37</v>
      </c>
      <c r="B42" s="21"/>
      <c r="C42" s="34"/>
      <c r="D42" s="28"/>
    </row>
    <row r="43" spans="1:4" ht="13.2" x14ac:dyDescent="0.25">
      <c r="A43" t="s">
        <v>39</v>
      </c>
      <c r="B43" s="21">
        <v>54428</v>
      </c>
      <c r="C43" s="34">
        <f>+B43*1.2083</f>
        <v>65765.352400000003</v>
      </c>
      <c r="D43" s="46">
        <f>+C43*1.1724</f>
        <v>77103.299153760017</v>
      </c>
    </row>
    <row r="44" spans="1:4" ht="13.2" x14ac:dyDescent="0.25">
      <c r="A44" t="s">
        <v>40</v>
      </c>
      <c r="B44" s="21">
        <v>698155</v>
      </c>
      <c r="C44" s="34">
        <f>+B44*1.0704</f>
        <v>747305.11199999996</v>
      </c>
      <c r="D44" s="46">
        <f>+C44*1.1905</f>
        <v>889666.73583599983</v>
      </c>
    </row>
    <row r="45" spans="1:4" x14ac:dyDescent="0.25">
      <c r="A45" t="s">
        <v>41</v>
      </c>
      <c r="B45" s="21"/>
      <c r="C45" s="34"/>
      <c r="D45" s="28"/>
    </row>
    <row r="46" spans="1:4" x14ac:dyDescent="0.25">
      <c r="B46" s="21"/>
      <c r="C46" s="34"/>
      <c r="D46" s="28"/>
    </row>
    <row r="47" spans="1:4" x14ac:dyDescent="0.25">
      <c r="B47" s="21"/>
      <c r="C47" s="34"/>
      <c r="D47" s="28"/>
    </row>
    <row r="48" spans="1:4" ht="15.6" thickBot="1" x14ac:dyDescent="0.3">
      <c r="A48" s="37" t="s">
        <v>32</v>
      </c>
      <c r="B48" s="33"/>
      <c r="C48" s="21"/>
      <c r="D48" s="28"/>
    </row>
    <row r="49" spans="1:4" ht="15.6" thickTop="1" x14ac:dyDescent="0.25">
      <c r="A49" t="s">
        <v>33</v>
      </c>
      <c r="B49" s="21"/>
      <c r="D49" s="28"/>
    </row>
    <row r="50" spans="1:4" x14ac:dyDescent="0.25">
      <c r="A50" t="s">
        <v>34</v>
      </c>
      <c r="B50" s="21"/>
      <c r="D50" s="28"/>
    </row>
    <row r="51" spans="1:4" x14ac:dyDescent="0.25">
      <c r="A51" t="s">
        <v>30</v>
      </c>
      <c r="D51" s="28"/>
    </row>
    <row r="52" spans="1:4" x14ac:dyDescent="0.25">
      <c r="A52" t="s">
        <v>31</v>
      </c>
      <c r="D52" s="35"/>
    </row>
    <row r="53" spans="1:4" x14ac:dyDescent="0.25">
      <c r="B53" s="22"/>
    </row>
    <row r="54" spans="1:4" x14ac:dyDescent="0.25">
      <c r="D54" s="35"/>
    </row>
  </sheetData>
  <pageMargins left="0.7" right="0.7" top="0.75" bottom="0.7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C11" sqref="C11"/>
    </sheetView>
  </sheetViews>
  <sheetFormatPr defaultRowHeight="13.2" x14ac:dyDescent="0.25"/>
  <cols>
    <col min="1" max="1" width="29.33203125" bestFit="1" customWidth="1"/>
    <col min="2" max="4" width="12.5546875" style="43" customWidth="1"/>
    <col min="5" max="6" width="8.6640625" customWidth="1"/>
  </cols>
  <sheetData>
    <row r="1" spans="1:4" x14ac:dyDescent="0.25">
      <c r="A1" s="6" t="s">
        <v>18</v>
      </c>
    </row>
    <row r="3" spans="1:4" ht="13.8" thickBot="1" x14ac:dyDescent="0.3"/>
    <row r="4" spans="1:4" s="42" customFormat="1" ht="40.200000000000003" thickBot="1" x14ac:dyDescent="0.3">
      <c r="A4" s="42" t="s">
        <v>46</v>
      </c>
      <c r="B4" s="44" t="s">
        <v>45</v>
      </c>
      <c r="C4" s="59" t="s">
        <v>21</v>
      </c>
      <c r="D4" s="59" t="s">
        <v>20</v>
      </c>
    </row>
    <row r="5" spans="1:4" ht="13.8" thickBot="1" x14ac:dyDescent="0.3">
      <c r="A5" s="41" t="s">
        <v>47</v>
      </c>
    </row>
    <row r="6" spans="1:4" x14ac:dyDescent="0.25">
      <c r="A6" t="s">
        <v>42</v>
      </c>
      <c r="B6" s="43">
        <v>6237679</v>
      </c>
      <c r="C6" s="43">
        <f>+B6*1.02</f>
        <v>6362432.5800000001</v>
      </c>
      <c r="D6" s="43">
        <f>+C6*1.02</f>
        <v>6489681.2316000005</v>
      </c>
    </row>
    <row r="7" spans="1:4" x14ac:dyDescent="0.25">
      <c r="A7" t="s">
        <v>43</v>
      </c>
      <c r="B7" s="43">
        <v>4820025</v>
      </c>
      <c r="C7" s="43">
        <f t="shared" ref="C7:D8" si="0">+B7*1.02</f>
        <v>4916425.5</v>
      </c>
      <c r="D7" s="43">
        <f t="shared" si="0"/>
        <v>5014754.01</v>
      </c>
    </row>
    <row r="8" spans="1:4" x14ac:dyDescent="0.25">
      <c r="A8" t="s">
        <v>44</v>
      </c>
      <c r="B8" s="43">
        <v>3402370</v>
      </c>
      <c r="C8" s="43">
        <f t="shared" si="0"/>
        <v>3470417.4</v>
      </c>
      <c r="D8" s="43">
        <f t="shared" si="0"/>
        <v>3539825.7480000001</v>
      </c>
    </row>
    <row r="10" spans="1:4" ht="13.8" thickBot="1" x14ac:dyDescent="0.3">
      <c r="A10" s="41" t="s">
        <v>48</v>
      </c>
    </row>
    <row r="11" spans="1:4" x14ac:dyDescent="0.25">
      <c r="A11" t="s">
        <v>42</v>
      </c>
      <c r="B11" s="43">
        <v>62978862</v>
      </c>
      <c r="C11" s="43">
        <f>(+B11+((4636.83)*445.12))*1.02</f>
        <v>66343663.924991995</v>
      </c>
      <c r="D11" s="43">
        <f>(+C11+((4636.83)*427.57))*1.02</f>
        <v>69692757.994653836</v>
      </c>
    </row>
    <row r="12" spans="1:4" x14ac:dyDescent="0.25">
      <c r="A12" t="s">
        <v>43</v>
      </c>
      <c r="B12" s="43">
        <v>14296920</v>
      </c>
      <c r="C12" s="43">
        <f>(+B12+((4636.83)*0))*1.02</f>
        <v>14582858.4</v>
      </c>
      <c r="D12" s="43">
        <f>(+C12+((4636.83)*29.8))*1.02</f>
        <v>15015456.65268</v>
      </c>
    </row>
    <row r="13" spans="1:4" x14ac:dyDescent="0.25">
      <c r="A13" t="s">
        <v>44</v>
      </c>
      <c r="B13" s="43">
        <v>15322338</v>
      </c>
      <c r="C13" s="43">
        <f>(+B13+((4636.83)*87.74))*1.02</f>
        <v>16043756.933483999</v>
      </c>
      <c r="D13" s="43">
        <f>(+C13+((4636.83)*90.15))*1.02</f>
        <v>16791002.501143679</v>
      </c>
    </row>
    <row r="15" spans="1:4" ht="13.8" thickBot="1" x14ac:dyDescent="0.3">
      <c r="A15" s="41" t="s">
        <v>11</v>
      </c>
    </row>
    <row r="16" spans="1:4" x14ac:dyDescent="0.25">
      <c r="A16" t="s">
        <v>42</v>
      </c>
      <c r="B16" s="43">
        <v>0</v>
      </c>
      <c r="C16" s="43">
        <v>0</v>
      </c>
      <c r="D16" s="43">
        <v>0</v>
      </c>
    </row>
    <row r="17" spans="1:4" x14ac:dyDescent="0.25">
      <c r="A17" t="s">
        <v>43</v>
      </c>
      <c r="B17" s="43">
        <v>3000</v>
      </c>
      <c r="C17" s="43">
        <v>3000</v>
      </c>
      <c r="D17" s="43">
        <v>3000</v>
      </c>
    </row>
    <row r="18" spans="1:4" x14ac:dyDescent="0.25">
      <c r="A18" t="s">
        <v>44</v>
      </c>
      <c r="B18" s="43">
        <v>0</v>
      </c>
      <c r="C18" s="43">
        <v>0</v>
      </c>
      <c r="D18" s="43">
        <v>0</v>
      </c>
    </row>
    <row r="20" spans="1:4" ht="13.8" thickBot="1" x14ac:dyDescent="0.3">
      <c r="A20" s="41" t="s">
        <v>10</v>
      </c>
    </row>
    <row r="21" spans="1:4" x14ac:dyDescent="0.25">
      <c r="A21" t="s">
        <v>42</v>
      </c>
      <c r="B21" s="43">
        <v>1125555</v>
      </c>
      <c r="C21" s="43">
        <v>1125555</v>
      </c>
      <c r="D21" s="43">
        <v>1125555</v>
      </c>
    </row>
    <row r="22" spans="1:4" x14ac:dyDescent="0.25">
      <c r="A22" t="s">
        <v>43</v>
      </c>
      <c r="B22" s="43">
        <v>339000</v>
      </c>
      <c r="C22" s="43">
        <v>339000</v>
      </c>
      <c r="D22" s="43">
        <v>339000</v>
      </c>
    </row>
    <row r="23" spans="1:4" x14ac:dyDescent="0.25">
      <c r="A23" t="s">
        <v>44</v>
      </c>
      <c r="B23" s="43">
        <v>250952</v>
      </c>
      <c r="C23" s="43">
        <v>250952</v>
      </c>
      <c r="D23" s="43">
        <v>250952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of Key Premisis</vt:lpstr>
      <vt:lpstr>Summary GU001</vt:lpstr>
      <vt:lpstr>BC</vt:lpstr>
      <vt:lpstr>CCC</vt:lpstr>
      <vt:lpstr>PC</vt:lpstr>
      <vt:lpstr>DO</vt:lpstr>
      <vt:lpstr>Revenue Projections</vt:lpstr>
      <vt:lpstr>Sheet1</vt:lpstr>
    </vt:vector>
  </TitlesOfParts>
  <Company>Legislative Analyst's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 of California Revenues, 1950-01 to 2009-10</dc:title>
  <dc:subject>State of California Revenues, 1950-01 to 2009-10</dc:subject>
  <dc:creator>Legislative Analyst's Office</dc:creator>
  <cp:lastModifiedBy>Somaly Boles</cp:lastModifiedBy>
  <cp:lastPrinted>2014-12-28T00:43:45Z</cp:lastPrinted>
  <dcterms:created xsi:type="dcterms:W3CDTF">1996-05-01T21:44:04Z</dcterms:created>
  <dcterms:modified xsi:type="dcterms:W3CDTF">2015-04-27T22:01:07Z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