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10070" yWindow="110" windowWidth="10100" windowHeight="7420" tabRatio="551" activeTab="1"/>
  </bookViews>
  <sheets>
    <sheet name="Summary GU001" sheetId="82" r:id="rId1"/>
    <sheet name="BC" sheetId="84" r:id="rId2"/>
    <sheet name="CCC" sheetId="85" r:id="rId3"/>
    <sheet name="PC" sheetId="86" r:id="rId4"/>
    <sheet name="DO" sheetId="87" r:id="rId5"/>
    <sheet name="Summary of Key Premisis" sheetId="88" r:id="rId6"/>
    <sheet name="Revenue Projections" sheetId="83" r:id="rId7"/>
  </sheets>
  <externalReferences>
    <externalReference r:id="rId8"/>
    <externalReference r:id="rId9"/>
    <externalReference r:id="rId10"/>
  </externalReferences>
  <definedNames>
    <definedName name="_xlnm.Print_Area" localSheetId="0">'Summary GU001'!$A$1:$D$35</definedName>
  </definedNames>
  <calcPr calcId="145621"/>
</workbook>
</file>

<file path=xl/calcChain.xml><?xml version="1.0" encoding="utf-8"?>
<calcChain xmlns="http://schemas.openxmlformats.org/spreadsheetml/2006/main">
  <c r="D39" i="84" l="1"/>
  <c r="B23" i="84"/>
  <c r="B22" i="84"/>
  <c r="B24" i="83"/>
  <c r="C24" i="83"/>
  <c r="D24" i="83"/>
  <c r="B19" i="84" l="1"/>
  <c r="B18" i="84"/>
  <c r="D13" i="84" l="1"/>
  <c r="D21" i="83"/>
  <c r="D13" i="83"/>
  <c r="C13" i="83"/>
  <c r="D12" i="83"/>
  <c r="C12" i="83"/>
  <c r="D11" i="83"/>
  <c r="C11" i="83"/>
  <c r="D29" i="82" l="1"/>
  <c r="C29" i="82"/>
  <c r="B29" i="82"/>
  <c r="C32" i="87"/>
  <c r="E23" i="83"/>
  <c r="E22" i="83"/>
  <c r="E21" i="83"/>
  <c r="E18" i="83"/>
  <c r="E17" i="83"/>
  <c r="E16" i="83"/>
  <c r="E7" i="83"/>
  <c r="E8" i="83"/>
  <c r="E6" i="83"/>
  <c r="E8" i="87"/>
  <c r="F19" i="87"/>
  <c r="F15" i="87"/>
  <c r="F23" i="87"/>
  <c r="F22" i="87"/>
  <c r="F14" i="87"/>
  <c r="F13" i="87"/>
  <c r="F12" i="87"/>
  <c r="F11" i="87"/>
  <c r="G18" i="86"/>
  <c r="G29" i="86"/>
  <c r="G28" i="86"/>
  <c r="G26" i="86"/>
  <c r="G25" i="86"/>
  <c r="G24" i="86"/>
  <c r="G23" i="86"/>
  <c r="G22" i="86"/>
  <c r="G21" i="86"/>
  <c r="G20" i="86"/>
  <c r="G19" i="86"/>
  <c r="G13" i="86"/>
  <c r="G12" i="86"/>
  <c r="G11" i="86"/>
  <c r="F15" i="85"/>
  <c r="F30" i="85"/>
  <c r="F28" i="85"/>
  <c r="F27" i="85"/>
  <c r="F26" i="85"/>
  <c r="F25" i="85"/>
  <c r="F24" i="85"/>
  <c r="F23" i="85"/>
  <c r="F22" i="85"/>
  <c r="F21" i="85"/>
  <c r="F20" i="85"/>
  <c r="F19" i="85"/>
  <c r="F13" i="85"/>
  <c r="F12" i="85"/>
  <c r="F11" i="85"/>
  <c r="F29" i="84"/>
  <c r="F28" i="84"/>
  <c r="F27" i="84"/>
  <c r="F26" i="84"/>
  <c r="F25" i="84"/>
  <c r="F24" i="84"/>
  <c r="F23" i="84"/>
  <c r="F21" i="84"/>
  <c r="F20" i="84"/>
  <c r="F19" i="84"/>
  <c r="F13" i="84"/>
  <c r="F12" i="84"/>
  <c r="F11" i="84"/>
  <c r="F15" i="82"/>
  <c r="C66" i="84"/>
  <c r="B66" i="84"/>
  <c r="D65" i="84"/>
  <c r="D64" i="84"/>
  <c r="F22" i="84" l="1"/>
  <c r="F18" i="84"/>
  <c r="D66" i="84"/>
  <c r="D56" i="84"/>
  <c r="G56" i="84" l="1"/>
  <c r="D59" i="84"/>
  <c r="C54" i="84"/>
  <c r="D54" i="84" s="1"/>
  <c r="C55" i="84"/>
  <c r="D55" i="84" s="1"/>
  <c r="D57" i="84" l="1"/>
  <c r="D61" i="84" s="1"/>
  <c r="E17" i="82"/>
  <c r="B8" i="87" l="1"/>
  <c r="C8" i="86"/>
  <c r="B8" i="85"/>
  <c r="B8" i="84"/>
  <c r="E66" i="82" l="1"/>
  <c r="C51" i="84"/>
  <c r="D51" i="84"/>
  <c r="E51" i="84"/>
  <c r="B51" i="84"/>
  <c r="F29" i="85" l="1"/>
  <c r="B20" i="82"/>
  <c r="B21" i="82"/>
  <c r="B22" i="82"/>
  <c r="C22" i="82"/>
  <c r="F22" i="82" s="1"/>
  <c r="D22" i="82"/>
  <c r="B23" i="82"/>
  <c r="C23" i="82"/>
  <c r="D23" i="82"/>
  <c r="B24" i="82"/>
  <c r="B25" i="82"/>
  <c r="B26" i="82"/>
  <c r="B27" i="82"/>
  <c r="B28" i="82"/>
  <c r="B30" i="82"/>
  <c r="C19" i="82"/>
  <c r="D19" i="82"/>
  <c r="B19" i="82"/>
  <c r="A29" i="82"/>
  <c r="C11" i="82"/>
  <c r="D11" i="82"/>
  <c r="C12" i="82"/>
  <c r="F12" i="82" s="1"/>
  <c r="D12" i="82"/>
  <c r="C13" i="82"/>
  <c r="D13" i="82"/>
  <c r="B12" i="82"/>
  <c r="B13" i="82"/>
  <c r="B11" i="82"/>
  <c r="F13" i="82" l="1"/>
  <c r="F11" i="82"/>
  <c r="F19" i="82"/>
  <c r="F23" i="82"/>
  <c r="B16" i="87"/>
  <c r="E13" i="83" l="1"/>
  <c r="E12" i="83"/>
  <c r="E11" i="83"/>
  <c r="D6" i="83"/>
  <c r="C7" i="83"/>
  <c r="D7" i="83" s="1"/>
  <c r="C8" i="83"/>
  <c r="D8" i="83" s="1"/>
  <c r="C6" i="83"/>
  <c r="C28" i="87"/>
  <c r="C29" i="87"/>
  <c r="C26" i="87"/>
  <c r="C27" i="87"/>
  <c r="C27" i="82" s="1"/>
  <c r="C25" i="87"/>
  <c r="D25" i="87" s="1"/>
  <c r="C43" i="87"/>
  <c r="D43" i="87" s="1"/>
  <c r="C42" i="87"/>
  <c r="C24" i="87" s="1"/>
  <c r="C21" i="87"/>
  <c r="C20" i="87"/>
  <c r="B30" i="87"/>
  <c r="B32" i="87" s="1"/>
  <c r="B34" i="87" s="1"/>
  <c r="C16" i="87"/>
  <c r="D16" i="87"/>
  <c r="E1" i="87"/>
  <c r="D11" i="86"/>
  <c r="E11" i="86"/>
  <c r="D13" i="86"/>
  <c r="E13" i="86"/>
  <c r="C14" i="86"/>
  <c r="C13" i="86"/>
  <c r="C11" i="86"/>
  <c r="C11" i="85"/>
  <c r="D11" i="85"/>
  <c r="C13" i="85"/>
  <c r="D13" i="85"/>
  <c r="C14" i="85"/>
  <c r="B14" i="85"/>
  <c r="B14" i="82" s="1"/>
  <c r="B13" i="85"/>
  <c r="B11" i="85"/>
  <c r="F50" i="86"/>
  <c r="E50" i="86"/>
  <c r="D50" i="86"/>
  <c r="C50" i="86"/>
  <c r="F49" i="86"/>
  <c r="E49" i="86"/>
  <c r="D49" i="86"/>
  <c r="C49" i="86"/>
  <c r="F47" i="86"/>
  <c r="E47" i="86"/>
  <c r="D47" i="86"/>
  <c r="C47" i="86"/>
  <c r="D43" i="86"/>
  <c r="E39" i="86"/>
  <c r="D39" i="86"/>
  <c r="I37" i="86"/>
  <c r="J36" i="86" s="1"/>
  <c r="C30" i="86"/>
  <c r="G30" i="86" s="1"/>
  <c r="B29" i="86"/>
  <c r="B30" i="86" s="1"/>
  <c r="B15" i="86"/>
  <c r="B32" i="86" s="1"/>
  <c r="B34" i="86" s="1"/>
  <c r="F1" i="86"/>
  <c r="F21" i="87" l="1"/>
  <c r="C21" i="82"/>
  <c r="D20" i="87"/>
  <c r="D20" i="82" s="1"/>
  <c r="C20" i="82"/>
  <c r="D21" i="87"/>
  <c r="D21" i="82" s="1"/>
  <c r="D28" i="87"/>
  <c r="F28" i="87" s="1"/>
  <c r="C28" i="82"/>
  <c r="F24" i="87"/>
  <c r="F25" i="87"/>
  <c r="C25" i="82"/>
  <c r="D29" i="87"/>
  <c r="F29" i="87" s="1"/>
  <c r="C30" i="82"/>
  <c r="F16" i="87"/>
  <c r="C26" i="82"/>
  <c r="D42" i="87"/>
  <c r="C24" i="82"/>
  <c r="D24" i="87"/>
  <c r="D24" i="82" s="1"/>
  <c r="D26" i="87"/>
  <c r="F26" i="87" s="1"/>
  <c r="D27" i="87"/>
  <c r="C15" i="86"/>
  <c r="D14" i="86"/>
  <c r="C32" i="86"/>
  <c r="J35" i="86"/>
  <c r="J34" i="86"/>
  <c r="C30" i="87"/>
  <c r="D15" i="86" l="1"/>
  <c r="F24" i="82"/>
  <c r="F20" i="82"/>
  <c r="F20" i="87"/>
  <c r="F21" i="82"/>
  <c r="D30" i="87"/>
  <c r="D32" i="87" s="1"/>
  <c r="D34" i="87" s="1"/>
  <c r="E30" i="86"/>
  <c r="D30" i="86"/>
  <c r="C34" i="86"/>
  <c r="D8" i="86"/>
  <c r="D40" i="85"/>
  <c r="C40" i="85"/>
  <c r="D31" i="85"/>
  <c r="C31" i="85"/>
  <c r="B31" i="85"/>
  <c r="C16" i="85"/>
  <c r="B16" i="85"/>
  <c r="B33" i="85" s="1"/>
  <c r="D15" i="85"/>
  <c r="E1" i="85"/>
  <c r="F29" i="82" l="1"/>
  <c r="F31" i="85"/>
  <c r="F30" i="87"/>
  <c r="C34" i="87"/>
  <c r="F32" i="87"/>
  <c r="B35" i="85"/>
  <c r="C8" i="85"/>
  <c r="D32" i="86"/>
  <c r="C33" i="85"/>
  <c r="D34" i="86"/>
  <c r="C14" i="84"/>
  <c r="B14" i="84"/>
  <c r="C13" i="84"/>
  <c r="B13" i="84"/>
  <c r="D47" i="84"/>
  <c r="C47" i="84"/>
  <c r="E1" i="84"/>
  <c r="D14" i="85"/>
  <c r="F14" i="85" s="1"/>
  <c r="E14" i="86"/>
  <c r="D14" i="84"/>
  <c r="E15" i="86" l="1"/>
  <c r="G15" i="86" s="1"/>
  <c r="G14" i="86"/>
  <c r="F14" i="84"/>
  <c r="C14" i="82"/>
  <c r="E8" i="86"/>
  <c r="E32" i="86" s="1"/>
  <c r="D16" i="85"/>
  <c r="F16" i="85" s="1"/>
  <c r="D14" i="82"/>
  <c r="F14" i="82" s="1"/>
  <c r="D26" i="82"/>
  <c r="F26" i="82" s="1"/>
  <c r="D28" i="82"/>
  <c r="F28" i="82" s="1"/>
  <c r="D25" i="82"/>
  <c r="F25" i="82" s="1"/>
  <c r="D27" i="82"/>
  <c r="F27" i="82" s="1"/>
  <c r="D30" i="82"/>
  <c r="F30" i="82" s="1"/>
  <c r="C35" i="85"/>
  <c r="D8" i="85"/>
  <c r="B30" i="84"/>
  <c r="D30" i="84"/>
  <c r="C15" i="84"/>
  <c r="F15" i="84" s="1"/>
  <c r="D15" i="84"/>
  <c r="C30" i="84"/>
  <c r="B15" i="84"/>
  <c r="C31" i="82"/>
  <c r="C66" i="82" s="1"/>
  <c r="C16" i="82"/>
  <c r="F30" i="84" l="1"/>
  <c r="E34" i="86"/>
  <c r="G32" i="86"/>
  <c r="D33" i="85"/>
  <c r="D31" i="82"/>
  <c r="D66" i="82" s="1"/>
  <c r="B32" i="84"/>
  <c r="D35" i="85" l="1"/>
  <c r="F33" i="85"/>
  <c r="B34" i="84"/>
  <c r="C8" i="84"/>
  <c r="C32" i="84" s="1"/>
  <c r="B16" i="82"/>
  <c r="D8" i="84" l="1"/>
  <c r="D32" i="84" s="1"/>
  <c r="F32" i="84" s="1"/>
  <c r="C34" i="84"/>
  <c r="D15" i="82"/>
  <c r="D16" i="82" s="1"/>
  <c r="F16" i="82" s="1"/>
  <c r="E1" i="82"/>
  <c r="D34" i="84" l="1"/>
  <c r="B31" i="82" l="1"/>
  <c r="B66" i="82" s="1"/>
  <c r="F31" i="82" l="1"/>
  <c r="B33" i="82"/>
  <c r="C8" i="82" s="1"/>
  <c r="C33" i="82" s="1"/>
  <c r="C35" i="82" l="1"/>
  <c r="D8" i="82"/>
  <c r="D33" i="82" s="1"/>
  <c r="D35" i="82" s="1"/>
  <c r="B35" i="82"/>
  <c r="F33" i="82" l="1"/>
</calcChain>
</file>

<file path=xl/comments1.xml><?xml version="1.0" encoding="utf-8"?>
<comments xmlns="http://schemas.openxmlformats.org/spreadsheetml/2006/main">
  <authors>
    <author>Arlitha Williams-Harmon</author>
  </authors>
  <commentList>
    <comment ref="D39" authorId="0">
      <text>
        <r>
          <rPr>
            <b/>
            <sz val="9"/>
            <color indexed="81"/>
            <rFont val="Tahoma"/>
            <family val="2"/>
          </rPr>
          <t>Arlitha Williams-Harmon:</t>
        </r>
        <r>
          <rPr>
            <sz val="9"/>
            <color indexed="81"/>
            <rFont val="Tahoma"/>
            <family val="2"/>
          </rPr>
          <t xml:space="preserve">
Class 3 Step 7</t>
        </r>
      </text>
    </comment>
  </commentList>
</comments>
</file>

<file path=xl/sharedStrings.xml><?xml version="1.0" encoding="utf-8"?>
<sst xmlns="http://schemas.openxmlformats.org/spreadsheetml/2006/main" count="307" uniqueCount="106">
  <si>
    <t>Beginning Balance</t>
  </si>
  <si>
    <t>Description</t>
  </si>
  <si>
    <t>Revenues</t>
  </si>
  <si>
    <t>Expenditures</t>
  </si>
  <si>
    <t>Other Outgo</t>
  </si>
  <si>
    <t>Ending Balance (Reserves)</t>
  </si>
  <si>
    <t>Total Expenditures and Other Outgo</t>
  </si>
  <si>
    <t>Supplies &amp; Materials</t>
  </si>
  <si>
    <t>Service/Utilities/Operating Exps.</t>
  </si>
  <si>
    <t>Capital Outlay</t>
  </si>
  <si>
    <t>Local</t>
  </si>
  <si>
    <t>Federal</t>
  </si>
  <si>
    <t>State</t>
  </si>
  <si>
    <t>Allocation</t>
  </si>
  <si>
    <t>Total Revenue</t>
  </si>
  <si>
    <t>Other Financing Sources</t>
  </si>
  <si>
    <t>Transfers Out</t>
  </si>
  <si>
    <t>Projected Change in Fund Balance (Reserves)</t>
  </si>
  <si>
    <t>Kern Community College District</t>
  </si>
  <si>
    <t>2014-15 Projected</t>
  </si>
  <si>
    <t>2016-17 Projected</t>
  </si>
  <si>
    <t>2015-16 Projected</t>
  </si>
  <si>
    <t>General Unrestricted (GU001 Only)</t>
  </si>
  <si>
    <t>Academic Salaries (Instructional)</t>
  </si>
  <si>
    <t>Academic Salaries (Non-Instructional)</t>
  </si>
  <si>
    <t>Classifed (Instructional)</t>
  </si>
  <si>
    <t>Classified &amp; Other Non-academic Salaries (Non-Instructional)</t>
  </si>
  <si>
    <t>Employee Benefits(Non- Instructional)</t>
  </si>
  <si>
    <t>Employee Benefits (Instructional)</t>
  </si>
  <si>
    <t>Classified</t>
  </si>
  <si>
    <t>Management</t>
  </si>
  <si>
    <t xml:space="preserve">Full Time Equivalent Employees </t>
  </si>
  <si>
    <t>Instructional (Tenure Track)</t>
  </si>
  <si>
    <t>Instructional (Adjunct)</t>
  </si>
  <si>
    <t>FON Compliance</t>
  </si>
  <si>
    <t xml:space="preserve">SSSP </t>
  </si>
  <si>
    <t>Student Equity</t>
  </si>
  <si>
    <t>Fiscal Impact and Description of Major Revenue or Expenditure Changes ($$$)</t>
  </si>
  <si>
    <t>STRS Change</t>
  </si>
  <si>
    <t>PERS Change</t>
  </si>
  <si>
    <t>BAC Program</t>
  </si>
  <si>
    <t>BC</t>
  </si>
  <si>
    <t>CCC</t>
  </si>
  <si>
    <t>PC</t>
  </si>
  <si>
    <t>2014-15 Adopted Budget</t>
  </si>
  <si>
    <t>Revenue</t>
  </si>
  <si>
    <t>Base Allocation</t>
  </si>
  <si>
    <t>FTES Allocation</t>
  </si>
  <si>
    <t>Location: Bakersfield</t>
  </si>
  <si>
    <t>FON Compliance (Salaries and Benefits for new faculty)</t>
  </si>
  <si>
    <t>Classified (chgs from equity impact)</t>
  </si>
  <si>
    <t>(mgmt changes include postions from Equity impact)</t>
  </si>
  <si>
    <t>Location: Cerro Coso Community College</t>
  </si>
  <si>
    <t>n/a</t>
  </si>
  <si>
    <t>Adjunct faculty due to C6 grant ending</t>
  </si>
  <si>
    <t>Adjunct faculty due to expansion in Tehachapi and inmate education</t>
  </si>
  <si>
    <t>Facility Rental for Tehachapi</t>
  </si>
  <si>
    <t>Facility Rental for ADMJ classes</t>
  </si>
  <si>
    <t>Utilities</t>
  </si>
  <si>
    <t>Contract Instruction - ADMJ classes</t>
  </si>
  <si>
    <t>Location: Porterville College</t>
  </si>
  <si>
    <t>2014-15 Adopted</t>
  </si>
  <si>
    <t>CC</t>
  </si>
  <si>
    <t>SSSP - Credit</t>
  </si>
  <si>
    <t>SSSP - Non-Credit</t>
  </si>
  <si>
    <t>Instructional (Tenure Track) - GU001 only</t>
  </si>
  <si>
    <t>Location: District Operations</t>
  </si>
  <si>
    <t>District Charge Backs</t>
  </si>
  <si>
    <t>Student Equity &amp; SSSP</t>
  </si>
  <si>
    <t>Location: Total District</t>
  </si>
  <si>
    <t>COLA</t>
  </si>
  <si>
    <t>Growth</t>
  </si>
  <si>
    <t>Other</t>
  </si>
  <si>
    <t>2014-15 Longterm Budget Projection Premisis</t>
  </si>
  <si>
    <t>Labor</t>
  </si>
  <si>
    <t>Non Labor</t>
  </si>
  <si>
    <t>STRS</t>
  </si>
  <si>
    <t>PERS</t>
  </si>
  <si>
    <t>Other Benefits</t>
  </si>
  <si>
    <t>BAS Program -- Net Cost</t>
  </si>
  <si>
    <t>Increased Adjunct</t>
  </si>
  <si>
    <t>Change</t>
  </si>
  <si>
    <t>Analysis of Academic Salaries (Instructional and Non-Instructional)</t>
  </si>
  <si>
    <t>Difference</t>
  </si>
  <si>
    <t>Change per Longterm Projections</t>
  </si>
  <si>
    <t>Expected Cost Change</t>
  </si>
  <si>
    <t>Increased Faculty</t>
  </si>
  <si>
    <t>Projected Change for 2015-16</t>
  </si>
  <si>
    <t>COLA (two years)</t>
  </si>
  <si>
    <t>2%/Year</t>
  </si>
  <si>
    <t>Salary Adjustment per A. Culpepper</t>
  </si>
  <si>
    <t>Pct Change</t>
  </si>
  <si>
    <t>N/A</t>
  </si>
  <si>
    <t xml:space="preserve">2014-15 thru 2016-17 Longterm Budget Projections </t>
  </si>
  <si>
    <t>Bakersfield</t>
  </si>
  <si>
    <t>Cerro Coso Community College</t>
  </si>
  <si>
    <t>Porterville</t>
  </si>
  <si>
    <t>Total</t>
  </si>
  <si>
    <t>Projected Revenue Increases (1)</t>
  </si>
  <si>
    <t>Projected Expenditure Increases (1)</t>
  </si>
  <si>
    <t>Note 1</t>
  </si>
  <si>
    <t>(1) 2014-15 Projections were incorporated into 2014-15 Adopted Budget</t>
  </si>
  <si>
    <t>On-going expenditures are expected to increase due to 1) salary increases associated with steps and columns changes of about 1.8%; 2) increase in faculty salaries of 1.17%; 3) increase in classified salaries of 1%; 4) health and welfare benefits CAP adjustments of 1.6% as required by collective bargaining agreements; 5) a 31.5% increase in workers compensation premiums; 6) a defined benefit rate decrease of 16.2%; 7) an  increased general property and liability cost of 35%; 8) an increased STRS contribution of 7.64%; and 9) an increased PERS contribution 3.07%</t>
  </si>
  <si>
    <t>FON Compliance Projections (Full Time Tenure Track Faculty)</t>
  </si>
  <si>
    <t>Fifty Percent Law Projections</t>
  </si>
  <si>
    <t>District Charge Backs to the Colleges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</si>
</sst>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Helvetica"/>
    </font>
    <font>
      <sz val="11"/>
      <color theme="1"/>
      <name val="Calibri"/>
      <family val="2"/>
      <scheme val="minor"/>
    </font>
    <font>
      <sz val="10"/>
      <name val="Helvetica"/>
    </font>
    <font>
      <b/>
      <sz val="12"/>
      <name val="Helvetica"/>
    </font>
    <font>
      <sz val="12"/>
      <name val="Helvetica"/>
    </font>
    <font>
      <b/>
      <sz val="10"/>
      <name val="Helvetica"/>
    </font>
    <font>
      <b/>
      <sz val="12"/>
      <name val="Arial"/>
      <family val="2"/>
    </font>
    <font>
      <b/>
      <i/>
      <sz val="12"/>
      <color theme="1"/>
      <name val="Helvetica"/>
    </font>
    <font>
      <b/>
      <i/>
      <sz val="12"/>
      <name val="Helvetica"/>
    </font>
    <font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Helvetica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/>
    <xf numFmtId="0" fontId="5" fillId="0" borderId="0" xfId="0" applyFont="1"/>
    <xf numFmtId="164" fontId="3" fillId="0" borderId="1" xfId="1" applyNumberFormat="1" applyFont="1" applyBorder="1" applyAlignment="1">
      <alignment horizontal="center"/>
    </xf>
    <xf numFmtId="164" fontId="6" fillId="0" borderId="0" xfId="1" applyNumberFormat="1" applyFont="1" applyFill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/>
    <xf numFmtId="164" fontId="9" fillId="0" borderId="0" xfId="1" applyNumberFormat="1" applyFont="1" applyFill="1" applyBorder="1"/>
    <xf numFmtId="0" fontId="0" fillId="0" borderId="0" xfId="0" applyFont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64" fontId="3" fillId="0" borderId="3" xfId="1" applyNumberFormat="1" applyFont="1" applyFill="1" applyBorder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Fill="1"/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/>
    <xf numFmtId="164" fontId="4" fillId="0" borderId="0" xfId="1" applyNumberFormat="1" applyFont="1" applyFill="1"/>
    <xf numFmtId="43" fontId="4" fillId="0" borderId="0" xfId="0" applyNumberFormat="1" applyFont="1" applyFill="1"/>
    <xf numFmtId="164" fontId="3" fillId="0" borderId="1" xfId="1" applyNumberFormat="1" applyFont="1" applyFill="1" applyBorder="1" applyAlignment="1">
      <alignment horizontal="center"/>
    </xf>
    <xf numFmtId="43" fontId="4" fillId="0" borderId="0" xfId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4" fillId="0" borderId="0" xfId="0" applyNumberFormat="1" applyFont="1" applyFill="1"/>
    <xf numFmtId="164" fontId="3" fillId="2" borderId="2" xfId="1" applyNumberFormat="1" applyFont="1" applyFill="1" applyBorder="1" applyAlignment="1">
      <alignment horizontal="center"/>
    </xf>
    <xf numFmtId="0" fontId="5" fillId="0" borderId="4" xfId="0" applyFont="1" applyBorder="1"/>
    <xf numFmtId="43" fontId="3" fillId="0" borderId="1" xfId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wrapText="1"/>
    </xf>
    <xf numFmtId="0" fontId="0" fillId="0" borderId="1" xfId="0" applyBorder="1"/>
    <xf numFmtId="0" fontId="5" fillId="0" borderId="0" xfId="0" applyFont="1" applyAlignment="1">
      <alignment horizontal="center" wrapText="1"/>
    </xf>
    <xf numFmtId="164" fontId="0" fillId="0" borderId="0" xfId="1" applyNumberFormat="1" applyFont="1"/>
    <xf numFmtId="164" fontId="5" fillId="0" borderId="3" xfId="1" applyNumberFormat="1" applyFont="1" applyBorder="1" applyAlignment="1">
      <alignment horizontal="center" wrapText="1"/>
    </xf>
    <xf numFmtId="164" fontId="0" fillId="0" borderId="0" xfId="0" applyNumberFormat="1"/>
    <xf numFmtId="164" fontId="2" fillId="0" borderId="0" xfId="1" applyNumberFormat="1" applyFont="1" applyFill="1"/>
    <xf numFmtId="0" fontId="2" fillId="0" borderId="0" xfId="0" applyFont="1"/>
    <xf numFmtId="0" fontId="0" fillId="0" borderId="0" xfId="0" applyFill="1"/>
    <xf numFmtId="43" fontId="0" fillId="0" borderId="0" xfId="1" applyNumberFormat="1" applyFont="1" applyFill="1" applyAlignment="1">
      <alignment horizontal="center"/>
    </xf>
    <xf numFmtId="43" fontId="2" fillId="0" borderId="0" xfId="1" applyFont="1" applyFill="1"/>
    <xf numFmtId="0" fontId="3" fillId="0" borderId="0" xfId="0" applyFont="1" applyBorder="1"/>
    <xf numFmtId="43" fontId="0" fillId="0" borderId="0" xfId="0" applyNumberFormat="1"/>
    <xf numFmtId="164" fontId="0" fillId="0" borderId="0" xfId="0" applyNumberFormat="1" applyFont="1" applyFill="1" applyAlignment="1">
      <alignment horizontal="center"/>
    </xf>
    <xf numFmtId="164" fontId="0" fillId="0" borderId="0" xfId="1" applyNumberFormat="1" applyFont="1" applyFill="1"/>
    <xf numFmtId="0" fontId="5" fillId="0" borderId="0" xfId="0" applyFont="1" applyBorder="1"/>
    <xf numFmtId="43" fontId="2" fillId="0" borderId="0" xfId="1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5" fillId="0" borderId="0" xfId="1" applyFont="1"/>
    <xf numFmtId="164" fontId="5" fillId="0" borderId="3" xfId="1" applyNumberFormat="1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2" fontId="2" fillId="0" borderId="0" xfId="1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5" fillId="0" borderId="1" xfId="0" applyFont="1" applyBorder="1"/>
    <xf numFmtId="10" fontId="0" fillId="0" borderId="0" xfId="2" applyNumberFormat="1" applyFont="1"/>
    <xf numFmtId="0" fontId="3" fillId="0" borderId="0" xfId="0" applyFont="1" applyFill="1" applyBorder="1" applyAlignment="1">
      <alignment horizontal="center" wrapText="1"/>
    </xf>
    <xf numFmtId="0" fontId="0" fillId="0" borderId="4" xfId="0" applyBorder="1"/>
    <xf numFmtId="0" fontId="3" fillId="0" borderId="3" xfId="0" applyFont="1" applyBorder="1"/>
    <xf numFmtId="0" fontId="5" fillId="0" borderId="0" xfId="0" applyFont="1" applyFill="1" applyBorder="1"/>
    <xf numFmtId="10" fontId="0" fillId="0" borderId="0" xfId="0" applyNumberFormat="1"/>
    <xf numFmtId="164" fontId="13" fillId="0" borderId="0" xfId="1" applyNumberFormat="1" applyFont="1" applyFill="1"/>
    <xf numFmtId="2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9" fontId="0" fillId="0" borderId="0" xfId="2" applyFont="1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4" fontId="4" fillId="0" borderId="0" xfId="10" applyFont="1" applyFill="1"/>
    <xf numFmtId="44" fontId="4" fillId="0" borderId="3" xfId="10" applyFont="1" applyFill="1" applyBorder="1"/>
    <xf numFmtId="44" fontId="4" fillId="0" borderId="1" xfId="10" applyFont="1" applyFill="1" applyBorder="1"/>
    <xf numFmtId="44" fontId="4" fillId="0" borderId="5" xfId="10" applyFont="1" applyFill="1" applyBorder="1"/>
    <xf numFmtId="0" fontId="0" fillId="0" borderId="0" xfId="0" applyFill="1" applyAlignment="1">
      <alignment horizontal="left"/>
    </xf>
    <xf numFmtId="0" fontId="13" fillId="0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2" applyNumberFormat="1" applyFont="1" applyFill="1" applyAlignment="1">
      <alignment horizontal="center"/>
    </xf>
    <xf numFmtId="0" fontId="1" fillId="0" borderId="0" xfId="11"/>
    <xf numFmtId="0" fontId="14" fillId="0" borderId="1" xfId="11" applyFont="1" applyBorder="1"/>
    <xf numFmtId="0" fontId="1" fillId="0" borderId="0" xfId="11" applyAlignment="1">
      <alignment horizontal="center"/>
    </xf>
    <xf numFmtId="0" fontId="1" fillId="0" borderId="3" xfId="11" applyBorder="1"/>
    <xf numFmtId="0" fontId="1" fillId="0" borderId="0" xfId="11" applyAlignment="1">
      <alignment horizontal="right"/>
    </xf>
    <xf numFmtId="0" fontId="1" fillId="0" borderId="1" xfId="11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43" fontId="0" fillId="0" borderId="0" xfId="1" applyFont="1" applyFill="1" applyAlignment="1">
      <alignment horizontal="right"/>
    </xf>
    <xf numFmtId="3" fontId="2" fillId="0" borderId="0" xfId="1" applyNumberFormat="1" applyFont="1" applyFill="1"/>
    <xf numFmtId="0" fontId="0" fillId="0" borderId="0" xfId="0" applyAlignment="1">
      <alignment wrapText="1"/>
    </xf>
    <xf numFmtId="0" fontId="0" fillId="0" borderId="0" xfId="0" applyAlignment="1"/>
  </cellXfs>
  <cellStyles count="17">
    <cellStyle name="Comma" xfId="1" builtinId="3"/>
    <cellStyle name="Comma 2" xfId="3"/>
    <cellStyle name="Comma 3" xfId="15"/>
    <cellStyle name="Comma 4" xfId="12"/>
    <cellStyle name="Currency" xfId="10" builtinId="4"/>
    <cellStyle name="Currency 2" xfId="6"/>
    <cellStyle name="Currency 3" xfId="5"/>
    <cellStyle name="Normal" xfId="0" builtinId="0"/>
    <cellStyle name="Normal 2" xfId="7"/>
    <cellStyle name="Normal 3" xfId="4"/>
    <cellStyle name="Normal 4" xfId="14"/>
    <cellStyle name="Normal 5" xfId="11"/>
    <cellStyle name="Percent" xfId="2" builtinId="5"/>
    <cellStyle name="Percent 2" xfId="9"/>
    <cellStyle name="Percent 3" xfId="8"/>
    <cellStyle name="Percent 4" xfId="16"/>
    <cellStyle name="Percent 5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-11%20Budget%20Stuff/Tentative%202010-11%20Carryover%20Calculations%20version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burke/2013-14%20Budget%20Stuff/2013-14%20Final%20Unrestricted%20Carryov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5-16%20Budget%20Stuff\Longterm%20Projections\Longterm%20Projection%20Premi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Carryover Analysis"/>
      <sheetName val="DO Onet Time Expenditures"/>
      <sheetName val="2010-11 Carryover"/>
      <sheetName val="Macro1"/>
      <sheetName val="GU001"/>
    </sheetNames>
    <sheetDataSet>
      <sheetData sheetId="0" refreshError="1"/>
      <sheetData sheetId="1" refreshError="1"/>
      <sheetData sheetId="2" refreshError="1">
        <row r="16">
          <cell r="H16">
            <v>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ase Data"/>
      <sheetName val="Enrollment Fees"/>
      <sheetName val="Weill Cost"/>
      <sheetName val="Macro1"/>
      <sheetName val="BC Variance"/>
      <sheetName val="Sheet2"/>
    </sheetNames>
    <sheetDataSet>
      <sheetData sheetId="0" refreshError="1">
        <row r="71">
          <cell r="C71">
            <v>4710057.4589110631</v>
          </cell>
          <cell r="D71">
            <v>4476134.5495275659</v>
          </cell>
          <cell r="E71">
            <v>5640907.9579990637</v>
          </cell>
          <cell r="F71">
            <v>0.43637631833553314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5">
          <cell r="I15">
            <v>323.73000000000138</v>
          </cell>
          <cell r="J15">
            <v>300.40459999999985</v>
          </cell>
        </row>
        <row r="16">
          <cell r="I16">
            <v>0</v>
          </cell>
          <cell r="J16">
            <v>29.798000000000229</v>
          </cell>
        </row>
        <row r="17">
          <cell r="I17">
            <v>63.811999999999898</v>
          </cell>
          <cell r="J17">
            <v>65.088240000000042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71"/>
  <sheetViews>
    <sheetView zoomScale="75" zoomScaleNormal="75" workbookViewId="0">
      <pane xSplit="1" ySplit="7" topLeftCell="B8" activePane="bottomRight" state="frozen"/>
      <selection activeCell="G16" sqref="G16"/>
      <selection pane="topRight" activeCell="G16" sqref="G16"/>
      <selection pane="bottomLeft" activeCell="G16" sqref="G16"/>
      <selection pane="bottomRight" activeCell="B6" sqref="B6"/>
    </sheetView>
  </sheetViews>
  <sheetFormatPr defaultRowHeight="15.5" x14ac:dyDescent="0.35"/>
  <cols>
    <col min="1" max="1" width="65.26953125" bestFit="1" customWidth="1"/>
    <col min="2" max="3" width="20.90625" style="16" bestFit="1" customWidth="1"/>
    <col min="4" max="4" width="18.54296875" style="25" customWidth="1"/>
    <col min="5" max="5" width="0" hidden="1" customWidth="1"/>
    <col min="6" max="6" width="9.7265625" style="83" customWidth="1"/>
  </cols>
  <sheetData>
    <row r="1" spans="1:6" x14ac:dyDescent="0.35">
      <c r="A1" s="1" t="s">
        <v>18</v>
      </c>
      <c r="E1" s="24">
        <f ca="1">NOW()</f>
        <v>42030.650164699073</v>
      </c>
    </row>
    <row r="2" spans="1:6" x14ac:dyDescent="0.35">
      <c r="A2" s="1" t="s">
        <v>93</v>
      </c>
    </row>
    <row r="3" spans="1:6" x14ac:dyDescent="0.35">
      <c r="A3" s="1"/>
    </row>
    <row r="4" spans="1:6" ht="16" thickBot="1" x14ac:dyDescent="0.4">
      <c r="A4" s="5" t="s">
        <v>69</v>
      </c>
    </row>
    <row r="6" spans="1:6" ht="16" thickBot="1" x14ac:dyDescent="0.4">
      <c r="A6" s="5" t="s">
        <v>22</v>
      </c>
      <c r="B6" s="23"/>
      <c r="C6" s="23"/>
    </row>
    <row r="7" spans="1:6" s="3" customFormat="1" ht="31.5" thickBot="1" x14ac:dyDescent="0.4">
      <c r="A7" s="2" t="s">
        <v>1</v>
      </c>
      <c r="B7" s="17" t="s">
        <v>19</v>
      </c>
      <c r="C7" s="26" t="s">
        <v>21</v>
      </c>
      <c r="D7" s="26" t="s">
        <v>20</v>
      </c>
      <c r="F7" s="82" t="s">
        <v>91</v>
      </c>
    </row>
    <row r="8" spans="1:6" s="6" customFormat="1" ht="16" thickBot="1" x14ac:dyDescent="0.4">
      <c r="A8" s="1" t="s">
        <v>0</v>
      </c>
      <c r="B8" s="18">
        <v>30138179</v>
      </c>
      <c r="C8" s="18">
        <f>+B33</f>
        <v>27966771.49857527</v>
      </c>
      <c r="D8" s="18">
        <f>+C33</f>
        <v>23707612.740360677</v>
      </c>
      <c r="F8" s="84"/>
    </row>
    <row r="9" spans="1:6" x14ac:dyDescent="0.35">
      <c r="A9" s="4"/>
      <c r="B9" s="19"/>
      <c r="C9" s="19"/>
    </row>
    <row r="10" spans="1:6" s="6" customFormat="1" ht="16" thickBot="1" x14ac:dyDescent="0.4">
      <c r="A10" s="5" t="s">
        <v>2</v>
      </c>
      <c r="B10" s="32"/>
      <c r="C10" s="8"/>
      <c r="D10" s="27"/>
      <c r="F10" s="84"/>
    </row>
    <row r="11" spans="1:6" s="6" customFormat="1" x14ac:dyDescent="0.35">
      <c r="A11" s="12" t="s">
        <v>11</v>
      </c>
      <c r="B11" s="20">
        <f>+BC!B11+CCC!B11+PC!C11+DO!B11</f>
        <v>3000</v>
      </c>
      <c r="C11" s="20">
        <f>+BC!C11+CCC!C11+PC!D11+DO!C11</f>
        <v>3000</v>
      </c>
      <c r="D11" s="20">
        <f>+BC!D11+CCC!D11+PC!E11+DO!D11</f>
        <v>3000</v>
      </c>
      <c r="F11" s="85">
        <f>IF(C11=0,"N/A",+D11/B11-1)</f>
        <v>0</v>
      </c>
    </row>
    <row r="12" spans="1:6" s="6" customFormat="1" x14ac:dyDescent="0.35">
      <c r="A12" s="12" t="s">
        <v>12</v>
      </c>
      <c r="B12" s="20">
        <f>+BC!B12+CCC!B12+PC!C12+DO!B12</f>
        <v>0</v>
      </c>
      <c r="C12" s="20">
        <f>+BC!C12+CCC!C12+PC!D12+DO!C12</f>
        <v>0</v>
      </c>
      <c r="D12" s="20">
        <f>+BC!D12+CCC!D12+PC!E12+DO!D12</f>
        <v>0</v>
      </c>
      <c r="F12" s="85" t="str">
        <f t="shared" ref="F12:F16" si="0">IF(C12=0,"N/A",+D12/B12-1)</f>
        <v>N/A</v>
      </c>
    </row>
    <row r="13" spans="1:6" s="6" customFormat="1" x14ac:dyDescent="0.35">
      <c r="A13" s="12" t="s">
        <v>10</v>
      </c>
      <c r="B13" s="20">
        <f>+BC!B13+CCC!B13+PC!C13+DO!B13</f>
        <v>1715507</v>
      </c>
      <c r="C13" s="20">
        <f>+BC!C13+CCC!C13+PC!D13+DO!C13</f>
        <v>1715507</v>
      </c>
      <c r="D13" s="20">
        <f>+BC!D13+CCC!D13+PC!E13+DO!D13</f>
        <v>1870487</v>
      </c>
      <c r="F13" s="85">
        <f t="shared" si="0"/>
        <v>9.0340639822513058E-2</v>
      </c>
    </row>
    <row r="14" spans="1:6" s="6" customFormat="1" ht="16" thickBot="1" x14ac:dyDescent="0.4">
      <c r="A14" s="12" t="s">
        <v>13</v>
      </c>
      <c r="B14" s="20">
        <f>+BC!B14+CCC!B14+PC!C14+DO!B14</f>
        <v>107688194.02573548</v>
      </c>
      <c r="C14" s="20">
        <f>+BC!C14+CCC!C14+PC!D14+DO!C14</f>
        <v>111162124.9055474</v>
      </c>
      <c r="D14" s="20">
        <f>+BC!D14+CCC!D14+PC!E14+DO!D14</f>
        <v>115254921.7578083</v>
      </c>
      <c r="F14" s="85">
        <f t="shared" si="0"/>
        <v>7.0265155809600799E-2</v>
      </c>
    </row>
    <row r="15" spans="1:6" s="6" customFormat="1" ht="16" hidden="1" thickBot="1" x14ac:dyDescent="0.4">
      <c r="A15" s="12" t="s">
        <v>13</v>
      </c>
      <c r="B15" s="20"/>
      <c r="C15" s="14"/>
      <c r="D15" s="28">
        <f>+'[1]2010-11 Carryover'!H16</f>
        <v>0</v>
      </c>
      <c r="F15" s="85" t="str">
        <f t="shared" si="0"/>
        <v>N/A</v>
      </c>
    </row>
    <row r="16" spans="1:6" s="6" customFormat="1" ht="16" thickBot="1" x14ac:dyDescent="0.4">
      <c r="A16" s="9" t="s">
        <v>14</v>
      </c>
      <c r="B16" s="18">
        <f>SUM(B11:B15)</f>
        <v>109406701.02573548</v>
      </c>
      <c r="C16" s="18">
        <f t="shared" ref="C16:D16" si="1">SUM(C11:C15)</f>
        <v>112880631.9055474</v>
      </c>
      <c r="D16" s="18">
        <f t="shared" si="1"/>
        <v>117128408.7578083</v>
      </c>
      <c r="F16" s="85">
        <f t="shared" si="0"/>
        <v>7.0578014506227138E-2</v>
      </c>
    </row>
    <row r="17" spans="1:6" s="6" customFormat="1" x14ac:dyDescent="0.35">
      <c r="A17" s="10"/>
      <c r="B17" s="32"/>
      <c r="C17" s="32"/>
      <c r="D17" s="32"/>
      <c r="E17" s="32">
        <f>+BC!E15+CCC!E16+PC!F15+DO!E16</f>
        <v>0</v>
      </c>
      <c r="F17" s="84"/>
    </row>
    <row r="18" spans="1:6" ht="16" thickBot="1" x14ac:dyDescent="0.4">
      <c r="A18" s="13" t="s">
        <v>3</v>
      </c>
      <c r="B18" s="19"/>
      <c r="C18" s="19"/>
    </row>
    <row r="19" spans="1:6" x14ac:dyDescent="0.35">
      <c r="A19" s="10" t="s">
        <v>23</v>
      </c>
      <c r="B19" s="20">
        <f>+BC!B18+CCC!B19+PC!C18+DO!B19</f>
        <v>35649187.18</v>
      </c>
      <c r="C19" s="20">
        <f>+BC!C18+CCC!C19+PC!D18+DO!C19</f>
        <v>37098381.609999999</v>
      </c>
      <c r="D19" s="20">
        <f>+BC!D18+CCC!D19+PC!E18+DO!D19</f>
        <v>38781499.946400002</v>
      </c>
      <c r="F19" s="85">
        <f t="shared" ref="F19:F31" si="2">IF(C19=0,"N/A",+D19/B19-1)</f>
        <v>8.7864914018496831E-2</v>
      </c>
    </row>
    <row r="20" spans="1:6" x14ac:dyDescent="0.35">
      <c r="A20" s="10" t="s">
        <v>24</v>
      </c>
      <c r="B20" s="20">
        <f>+BC!B19+CCC!B20+PC!C19+DO!B20</f>
        <v>9221831.9003999997</v>
      </c>
      <c r="C20" s="20">
        <f>+BC!C19+CCC!C20+PC!D19+DO!C20</f>
        <v>9614959.7204</v>
      </c>
      <c r="D20" s="20">
        <f>+BC!D19+CCC!D20+PC!E19+DO!D20</f>
        <v>10034220.509008</v>
      </c>
      <c r="F20" s="85">
        <f t="shared" si="2"/>
        <v>8.8094059551526049E-2</v>
      </c>
    </row>
    <row r="21" spans="1:6" x14ac:dyDescent="0.35">
      <c r="A21" s="10" t="s">
        <v>26</v>
      </c>
      <c r="B21" s="20">
        <f>+BC!B20+CCC!B21+PC!C20+DO!B21</f>
        <v>19286401.199999999</v>
      </c>
      <c r="C21" s="20">
        <f>+BC!C20+CCC!C21+PC!D20+DO!C21</f>
        <v>20805180.859999999</v>
      </c>
      <c r="D21" s="20">
        <f>+BC!D20+CCC!D21+PC!E20+DO!D21</f>
        <v>21382771.583999999</v>
      </c>
      <c r="F21" s="85">
        <f t="shared" si="2"/>
        <v>0.1086968150387746</v>
      </c>
    </row>
    <row r="22" spans="1:6" x14ac:dyDescent="0.35">
      <c r="A22" s="10" t="s">
        <v>25</v>
      </c>
      <c r="B22" s="20">
        <f>+BC!B21+CCC!B22+PC!C21+DO!B22</f>
        <v>2533419.92</v>
      </c>
      <c r="C22" s="20">
        <f>+BC!C21+CCC!C22+PC!D21+DO!C22</f>
        <v>2684268.96</v>
      </c>
      <c r="D22" s="20">
        <f>+BC!D21+CCC!D22+PC!E21+DO!D22</f>
        <v>2738340.3140000002</v>
      </c>
      <c r="F22" s="85">
        <f t="shared" si="2"/>
        <v>8.0886864582639051E-2</v>
      </c>
    </row>
    <row r="23" spans="1:6" x14ac:dyDescent="0.35">
      <c r="A23" s="10" t="s">
        <v>28</v>
      </c>
      <c r="B23" s="20">
        <f>+BC!B22+CCC!B23+PC!C22+DO!B23</f>
        <v>9085566.0450363196</v>
      </c>
      <c r="C23" s="20">
        <f>+BC!C22+CCC!C23+PC!D22+DO!C23</f>
        <v>9868387.9731757492</v>
      </c>
      <c r="D23" s="20">
        <f>+BC!D22+CCC!D23+PC!E22+DO!D23</f>
        <v>10452543.35288725</v>
      </c>
      <c r="F23" s="85">
        <f t="shared" si="2"/>
        <v>0.15045593208776964</v>
      </c>
    </row>
    <row r="24" spans="1:6" x14ac:dyDescent="0.35">
      <c r="A24" s="10" t="s">
        <v>27</v>
      </c>
      <c r="B24" s="20">
        <f>+BC!B23+CCC!B24+PC!C23+DO!B24</f>
        <v>10678965.091623912</v>
      </c>
      <c r="C24" s="20">
        <f>+BC!C23+CCC!C24+PC!D23+DO!C24</f>
        <v>10674737.031386241</v>
      </c>
      <c r="D24" s="20">
        <f>+BC!D23+CCC!D24+PC!E23+DO!D24</f>
        <v>11326368.774966879</v>
      </c>
      <c r="F24" s="85">
        <f t="shared" si="2"/>
        <v>6.0624196988035894E-2</v>
      </c>
    </row>
    <row r="25" spans="1:6" x14ac:dyDescent="0.35">
      <c r="A25" s="10" t="s">
        <v>7</v>
      </c>
      <c r="B25" s="20">
        <f>+BC!B24+CCC!B25+PC!C24+DO!B25</f>
        <v>2256343.87</v>
      </c>
      <c r="C25" s="20">
        <f>+BC!C24+CCC!C25+PC!D24+DO!C25</f>
        <v>2416458.7453999999</v>
      </c>
      <c r="D25" s="20">
        <f>+BC!D24+CCC!D25+PC!E24+DO!D25</f>
        <v>2469431.9177080002</v>
      </c>
      <c r="F25" s="85">
        <f t="shared" si="2"/>
        <v>9.4439526944977592E-2</v>
      </c>
    </row>
    <row r="26" spans="1:6" x14ac:dyDescent="0.35">
      <c r="A26" s="10" t="s">
        <v>8</v>
      </c>
      <c r="B26" s="20">
        <f>+BC!B25+CCC!B26+PC!C25+DO!B26</f>
        <v>13441180.1</v>
      </c>
      <c r="C26" s="20">
        <f>+BC!C25+CCC!C26+PC!D25+DO!C26</f>
        <v>13928972.661000002</v>
      </c>
      <c r="D26" s="20">
        <f>+BC!D25+CCC!D26+PC!E25+DO!D26</f>
        <v>14207552.107620001</v>
      </c>
      <c r="F26" s="85">
        <f t="shared" si="2"/>
        <v>5.7016720400911991E-2</v>
      </c>
    </row>
    <row r="27" spans="1:6" x14ac:dyDescent="0.35">
      <c r="A27" s="10" t="s">
        <v>9</v>
      </c>
      <c r="B27" s="20">
        <f>+BC!B26+CCC!B27+PC!C26+DO!B27</f>
        <v>1876217.2200000002</v>
      </c>
      <c r="C27" s="20">
        <f>+BC!C26+CCC!C27+PC!D26+DO!C27</f>
        <v>3023391.5623999997</v>
      </c>
      <c r="D27" s="20">
        <f>+BC!D26+CCC!D27+PC!E26+DO!D27</f>
        <v>1974209.3968479999</v>
      </c>
      <c r="F27" s="85">
        <f t="shared" si="2"/>
        <v>5.2228588355030414E-2</v>
      </c>
    </row>
    <row r="28" spans="1:6" x14ac:dyDescent="0.35">
      <c r="A28" s="10" t="s">
        <v>4</v>
      </c>
      <c r="B28" s="20">
        <f>+BC!B27+CCC!B28+PC!C27+DO!B28</f>
        <v>5923700.0000999998</v>
      </c>
      <c r="C28" s="20">
        <f>+BC!C27+CCC!C28+PC!D27+DO!C28</f>
        <v>5487338.2999999998</v>
      </c>
      <c r="D28" s="20">
        <f>+BC!D27+CCC!D28+PC!E27+DO!D28</f>
        <v>5593085.0659999996</v>
      </c>
      <c r="F28" s="85">
        <f t="shared" si="2"/>
        <v>-5.5812234599054489E-2</v>
      </c>
    </row>
    <row r="29" spans="1:6" x14ac:dyDescent="0.35">
      <c r="A29" s="10" t="str">
        <f>+BC!A28</f>
        <v>District Charge Backs</v>
      </c>
      <c r="B29" s="20">
        <f>+BC!B28+CCC!B29+PC!C28-DO!B15</f>
        <v>0</v>
      </c>
      <c r="C29" s="20">
        <f>+BC!C28+CCC!C29+PC!D28-DO!C15</f>
        <v>0</v>
      </c>
      <c r="D29" s="20">
        <f>+BC!D28+CCC!D29+PC!E28-DO!D15</f>
        <v>0</v>
      </c>
      <c r="F29" s="85" t="str">
        <f t="shared" si="2"/>
        <v>N/A</v>
      </c>
    </row>
    <row r="30" spans="1:6" ht="16" thickBot="1" x14ac:dyDescent="0.4">
      <c r="A30" s="10" t="s">
        <v>16</v>
      </c>
      <c r="B30" s="20">
        <f>+BC!B29+CCC!B30+PC!C29+DO!B29</f>
        <v>1625296</v>
      </c>
      <c r="C30" s="20">
        <f>+BC!C29+CCC!C30+PC!D29+DO!C29</f>
        <v>1537713.24</v>
      </c>
      <c r="D30" s="20">
        <f>+BC!D29+CCC!D30+PC!E29+DO!D29</f>
        <v>1568467.5048</v>
      </c>
      <c r="F30" s="85">
        <f t="shared" si="2"/>
        <v>-3.4965012650003402E-2</v>
      </c>
    </row>
    <row r="31" spans="1:6" s="6" customFormat="1" x14ac:dyDescent="0.35">
      <c r="A31" s="11" t="s">
        <v>6</v>
      </c>
      <c r="B31" s="60">
        <f>SUM(B18:B30)</f>
        <v>111578108.52716023</v>
      </c>
      <c r="C31" s="60">
        <f t="shared" ref="C31:D31" si="3">SUM(C18:C30)</f>
        <v>117139790.66376197</v>
      </c>
      <c r="D31" s="60">
        <f t="shared" si="3"/>
        <v>120528490.47423813</v>
      </c>
      <c r="F31" s="85">
        <f t="shared" si="2"/>
        <v>8.0216290320956674E-2</v>
      </c>
    </row>
    <row r="32" spans="1:6" x14ac:dyDescent="0.35">
      <c r="A32" s="1"/>
      <c r="B32" s="19"/>
      <c r="C32" s="19"/>
      <c r="D32" s="29"/>
    </row>
    <row r="33" spans="1:6" s="6" customFormat="1" ht="16" thickBot="1" x14ac:dyDescent="0.4">
      <c r="A33" s="1" t="s">
        <v>5</v>
      </c>
      <c r="B33" s="30">
        <f>+B8+B16-B31</f>
        <v>27966771.49857527</v>
      </c>
      <c r="C33" s="7">
        <f>+C8+C16-C31</f>
        <v>23707612.740360677</v>
      </c>
      <c r="D33" s="30">
        <f>+D8+D16-D31</f>
        <v>20307531.023930848</v>
      </c>
      <c r="F33" s="85">
        <f t="shared" ref="F33" si="4">IF(C33=0,"N/A",+D33/B33-1)</f>
        <v>-0.27386931219553223</v>
      </c>
    </row>
    <row r="34" spans="1:6" x14ac:dyDescent="0.35">
      <c r="A34" s="15"/>
      <c r="B34" s="21"/>
      <c r="C34" s="21"/>
      <c r="D34" s="31"/>
    </row>
    <row r="35" spans="1:6" s="6" customFormat="1" ht="16" thickBot="1" x14ac:dyDescent="0.4">
      <c r="A35" s="1" t="s">
        <v>17</v>
      </c>
      <c r="B35" s="30">
        <f>+B33-B8</f>
        <v>-2171407.5014247298</v>
      </c>
      <c r="C35" s="30">
        <f t="shared" ref="C35:D35" si="5">+C33-C8</f>
        <v>-4259158.7582145929</v>
      </c>
      <c r="D35" s="30">
        <f t="shared" si="5"/>
        <v>-3400081.7164298296</v>
      </c>
      <c r="F35" s="84"/>
    </row>
    <row r="36" spans="1:6" ht="12.5" x14ac:dyDescent="0.25">
      <c r="B36" s="21"/>
      <c r="C36" s="21"/>
      <c r="D36" s="21"/>
    </row>
    <row r="37" spans="1:6" ht="12.5" x14ac:dyDescent="0.25">
      <c r="B37" s="21"/>
      <c r="C37" s="21"/>
      <c r="D37" s="21"/>
    </row>
    <row r="38" spans="1:6" hidden="1" x14ac:dyDescent="0.35">
      <c r="B38" s="21"/>
      <c r="C38" s="34"/>
      <c r="D38" s="28"/>
    </row>
    <row r="39" spans="1:6" ht="31.5" hidden="1" thickBot="1" x14ac:dyDescent="0.4">
      <c r="A39" s="2" t="s">
        <v>37</v>
      </c>
      <c r="B39" s="38" t="s">
        <v>19</v>
      </c>
      <c r="C39" s="39" t="s">
        <v>21</v>
      </c>
      <c r="D39" s="40" t="s">
        <v>20</v>
      </c>
    </row>
    <row r="40" spans="1:6" hidden="1" x14ac:dyDescent="0.35">
      <c r="A40" t="s">
        <v>34</v>
      </c>
      <c r="B40" s="21"/>
      <c r="C40" s="34"/>
      <c r="D40" s="28"/>
    </row>
    <row r="41" spans="1:6" hidden="1" x14ac:dyDescent="0.35">
      <c r="A41" t="s">
        <v>35</v>
      </c>
      <c r="B41" s="21"/>
      <c r="C41" s="34"/>
      <c r="D41" s="28"/>
    </row>
    <row r="42" spans="1:6" hidden="1" x14ac:dyDescent="0.35">
      <c r="A42" t="s">
        <v>36</v>
      </c>
      <c r="B42" s="21"/>
      <c r="C42" s="34"/>
      <c r="D42" s="28"/>
    </row>
    <row r="43" spans="1:6" hidden="1" x14ac:dyDescent="0.35">
      <c r="A43" t="s">
        <v>38</v>
      </c>
      <c r="B43" s="21"/>
      <c r="C43" s="34"/>
      <c r="D43" s="28"/>
    </row>
    <row r="44" spans="1:6" hidden="1" x14ac:dyDescent="0.35">
      <c r="A44" t="s">
        <v>39</v>
      </c>
      <c r="B44" s="21"/>
      <c r="C44" s="34"/>
      <c r="D44" s="28"/>
    </row>
    <row r="45" spans="1:6" hidden="1" x14ac:dyDescent="0.35">
      <c r="A45" t="s">
        <v>40</v>
      </c>
      <c r="B45" s="21"/>
      <c r="C45" s="34"/>
      <c r="D45" s="28"/>
    </row>
    <row r="46" spans="1:6" hidden="1" x14ac:dyDescent="0.35">
      <c r="B46" s="21"/>
      <c r="C46" s="34"/>
      <c r="D46" s="28"/>
    </row>
    <row r="47" spans="1:6" hidden="1" x14ac:dyDescent="0.35">
      <c r="B47" s="21"/>
      <c r="C47" s="34"/>
      <c r="D47" s="28"/>
    </row>
    <row r="48" spans="1:6" ht="16" hidden="1" thickBot="1" x14ac:dyDescent="0.4">
      <c r="A48" s="37" t="s">
        <v>31</v>
      </c>
      <c r="B48" s="33"/>
      <c r="C48" s="21"/>
      <c r="D48" s="28"/>
    </row>
    <row r="49" spans="1:4" ht="16" hidden="1" thickTop="1" x14ac:dyDescent="0.35">
      <c r="A49" t="s">
        <v>32</v>
      </c>
      <c r="B49" s="21"/>
      <c r="D49" s="28"/>
    </row>
    <row r="50" spans="1:4" hidden="1" x14ac:dyDescent="0.35">
      <c r="A50" t="s">
        <v>33</v>
      </c>
      <c r="B50" s="21"/>
      <c r="D50" s="28"/>
    </row>
    <row r="51" spans="1:4" hidden="1" x14ac:dyDescent="0.35">
      <c r="A51" t="s">
        <v>29</v>
      </c>
      <c r="D51" s="28"/>
    </row>
    <row r="52" spans="1:4" hidden="1" x14ac:dyDescent="0.35">
      <c r="A52" t="s">
        <v>30</v>
      </c>
      <c r="D52" s="35"/>
    </row>
    <row r="53" spans="1:4" hidden="1" x14ac:dyDescent="0.35">
      <c r="B53" s="22"/>
    </row>
    <row r="54" spans="1:4" hidden="1" x14ac:dyDescent="0.35">
      <c r="D54" s="35"/>
    </row>
    <row r="55" spans="1:4" hidden="1" x14ac:dyDescent="0.35"/>
    <row r="56" spans="1:4" hidden="1" x14ac:dyDescent="0.35"/>
    <row r="57" spans="1:4" hidden="1" x14ac:dyDescent="0.35"/>
    <row r="58" spans="1:4" hidden="1" x14ac:dyDescent="0.35"/>
    <row r="59" spans="1:4" hidden="1" x14ac:dyDescent="0.35"/>
    <row r="60" spans="1:4" hidden="1" x14ac:dyDescent="0.35"/>
    <row r="61" spans="1:4" hidden="1" x14ac:dyDescent="0.35"/>
    <row r="62" spans="1:4" hidden="1" x14ac:dyDescent="0.35"/>
    <row r="63" spans="1:4" hidden="1" x14ac:dyDescent="0.35"/>
    <row r="64" spans="1:4" hidden="1" x14ac:dyDescent="0.35"/>
    <row r="65" spans="1:6" hidden="1" x14ac:dyDescent="0.35"/>
    <row r="66" spans="1:6" s="1" customFormat="1" x14ac:dyDescent="0.35">
      <c r="A66" s="93" t="s">
        <v>104</v>
      </c>
      <c r="B66" s="94">
        <f>(+B19+B22+B23)/(+B31-B30-B29-B28-B27-1560972-2662340)</f>
        <v>0.48267511765904275</v>
      </c>
      <c r="C66" s="94">
        <f>(+C19+C22+C23)/(+C31-C30-C29-C28-C27-((1560972+2662340)*1.02))</f>
        <v>0.48306396509676902</v>
      </c>
      <c r="D66" s="94">
        <f>(+D19+D22+D23)/(+D31-D30-D29-D28-D27-((1560972+2662340)*1.02))</f>
        <v>0.48533788813368228</v>
      </c>
      <c r="E66" s="94">
        <f t="shared" ref="E66" si="6">(+E19+E22+E23)/(+E31-E30-E29-E28-E27-1560972-2662340)</f>
        <v>0</v>
      </c>
      <c r="F66" s="93"/>
    </row>
    <row r="68" spans="1:6" x14ac:dyDescent="0.35">
      <c r="B68" s="21"/>
    </row>
    <row r="69" spans="1:6" x14ac:dyDescent="0.35">
      <c r="B69" s="95"/>
    </row>
    <row r="70" spans="1:6" x14ac:dyDescent="0.35">
      <c r="B70" s="96"/>
    </row>
    <row r="71" spans="1:6" x14ac:dyDescent="0.35">
      <c r="B71" s="33"/>
    </row>
  </sheetData>
  <printOptions horizontalCentered="1" verticalCentered="1" gridLines="1"/>
  <pageMargins left="0" right="0" top="0.25" bottom="0.25" header="0.3" footer="0.3"/>
  <pageSetup firstPageNumber="5" orientation="landscape" useFirstPageNumber="1" r:id="rId1"/>
  <headerFooter>
    <oddFooter>&amp;C6a</oddFooter>
    <firstFooter>&amp;C5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8"/>
  <sheetViews>
    <sheetView tabSelected="1" topLeftCell="A22" workbookViewId="0">
      <selection activeCell="A36" sqref="A36:XFD68"/>
    </sheetView>
  </sheetViews>
  <sheetFormatPr defaultRowHeight="15.5" x14ac:dyDescent="0.35"/>
  <cols>
    <col min="1" max="1" width="69.7265625" bestFit="1" customWidth="1"/>
    <col min="2" max="2" width="15" style="16" bestFit="1" customWidth="1"/>
    <col min="3" max="3" width="16.453125" style="16" bestFit="1" customWidth="1"/>
    <col min="4" max="4" width="18.54296875" style="25" customWidth="1"/>
    <col min="5" max="5" width="0" hidden="1" customWidth="1"/>
    <col min="6" max="6" width="9.81640625" customWidth="1"/>
    <col min="7" max="7" width="69.81640625" bestFit="1" customWidth="1"/>
    <col min="257" max="257" width="69.7265625" bestFit="1" customWidth="1"/>
    <col min="258" max="258" width="15" bestFit="1" customWidth="1"/>
    <col min="259" max="259" width="16.453125" bestFit="1" customWidth="1"/>
    <col min="260" max="260" width="18.54296875" customWidth="1"/>
    <col min="261" max="261" width="0" hidden="1" customWidth="1"/>
    <col min="263" max="263" width="69.81640625" bestFit="1" customWidth="1"/>
    <col min="513" max="513" width="69.7265625" bestFit="1" customWidth="1"/>
    <col min="514" max="514" width="15" bestFit="1" customWidth="1"/>
    <col min="515" max="515" width="16.453125" bestFit="1" customWidth="1"/>
    <col min="516" max="516" width="18.54296875" customWidth="1"/>
    <col min="517" max="517" width="0" hidden="1" customWidth="1"/>
    <col min="519" max="519" width="69.81640625" bestFit="1" customWidth="1"/>
    <col min="769" max="769" width="69.7265625" bestFit="1" customWidth="1"/>
    <col min="770" max="770" width="15" bestFit="1" customWidth="1"/>
    <col min="771" max="771" width="16.453125" bestFit="1" customWidth="1"/>
    <col min="772" max="772" width="18.54296875" customWidth="1"/>
    <col min="773" max="773" width="0" hidden="1" customWidth="1"/>
    <col min="775" max="775" width="69.81640625" bestFit="1" customWidth="1"/>
    <col min="1025" max="1025" width="69.7265625" bestFit="1" customWidth="1"/>
    <col min="1026" max="1026" width="15" bestFit="1" customWidth="1"/>
    <col min="1027" max="1027" width="16.453125" bestFit="1" customWidth="1"/>
    <col min="1028" max="1028" width="18.54296875" customWidth="1"/>
    <col min="1029" max="1029" width="0" hidden="1" customWidth="1"/>
    <col min="1031" max="1031" width="69.81640625" bestFit="1" customWidth="1"/>
    <col min="1281" max="1281" width="69.7265625" bestFit="1" customWidth="1"/>
    <col min="1282" max="1282" width="15" bestFit="1" customWidth="1"/>
    <col min="1283" max="1283" width="16.453125" bestFit="1" customWidth="1"/>
    <col min="1284" max="1284" width="18.54296875" customWidth="1"/>
    <col min="1285" max="1285" width="0" hidden="1" customWidth="1"/>
    <col min="1287" max="1287" width="69.81640625" bestFit="1" customWidth="1"/>
    <col min="1537" max="1537" width="69.7265625" bestFit="1" customWidth="1"/>
    <col min="1538" max="1538" width="15" bestFit="1" customWidth="1"/>
    <col min="1539" max="1539" width="16.453125" bestFit="1" customWidth="1"/>
    <col min="1540" max="1540" width="18.54296875" customWidth="1"/>
    <col min="1541" max="1541" width="0" hidden="1" customWidth="1"/>
    <col min="1543" max="1543" width="69.81640625" bestFit="1" customWidth="1"/>
    <col min="1793" max="1793" width="69.7265625" bestFit="1" customWidth="1"/>
    <col min="1794" max="1794" width="15" bestFit="1" customWidth="1"/>
    <col min="1795" max="1795" width="16.453125" bestFit="1" customWidth="1"/>
    <col min="1796" max="1796" width="18.54296875" customWidth="1"/>
    <col min="1797" max="1797" width="0" hidden="1" customWidth="1"/>
    <col min="1799" max="1799" width="69.81640625" bestFit="1" customWidth="1"/>
    <col min="2049" max="2049" width="69.7265625" bestFit="1" customWidth="1"/>
    <col min="2050" max="2050" width="15" bestFit="1" customWidth="1"/>
    <col min="2051" max="2051" width="16.453125" bestFit="1" customWidth="1"/>
    <col min="2052" max="2052" width="18.54296875" customWidth="1"/>
    <col min="2053" max="2053" width="0" hidden="1" customWidth="1"/>
    <col min="2055" max="2055" width="69.81640625" bestFit="1" customWidth="1"/>
    <col min="2305" max="2305" width="69.7265625" bestFit="1" customWidth="1"/>
    <col min="2306" max="2306" width="15" bestFit="1" customWidth="1"/>
    <col min="2307" max="2307" width="16.453125" bestFit="1" customWidth="1"/>
    <col min="2308" max="2308" width="18.54296875" customWidth="1"/>
    <col min="2309" max="2309" width="0" hidden="1" customWidth="1"/>
    <col min="2311" max="2311" width="69.81640625" bestFit="1" customWidth="1"/>
    <col min="2561" max="2561" width="69.7265625" bestFit="1" customWidth="1"/>
    <col min="2562" max="2562" width="15" bestFit="1" customWidth="1"/>
    <col min="2563" max="2563" width="16.453125" bestFit="1" customWidth="1"/>
    <col min="2564" max="2564" width="18.54296875" customWidth="1"/>
    <col min="2565" max="2565" width="0" hidden="1" customWidth="1"/>
    <col min="2567" max="2567" width="69.81640625" bestFit="1" customWidth="1"/>
    <col min="2817" max="2817" width="69.7265625" bestFit="1" customWidth="1"/>
    <col min="2818" max="2818" width="15" bestFit="1" customWidth="1"/>
    <col min="2819" max="2819" width="16.453125" bestFit="1" customWidth="1"/>
    <col min="2820" max="2820" width="18.54296875" customWidth="1"/>
    <col min="2821" max="2821" width="0" hidden="1" customWidth="1"/>
    <col min="2823" max="2823" width="69.81640625" bestFit="1" customWidth="1"/>
    <col min="3073" max="3073" width="69.7265625" bestFit="1" customWidth="1"/>
    <col min="3074" max="3074" width="15" bestFit="1" customWidth="1"/>
    <col min="3075" max="3075" width="16.453125" bestFit="1" customWidth="1"/>
    <col min="3076" max="3076" width="18.54296875" customWidth="1"/>
    <col min="3077" max="3077" width="0" hidden="1" customWidth="1"/>
    <col min="3079" max="3079" width="69.81640625" bestFit="1" customWidth="1"/>
    <col min="3329" max="3329" width="69.7265625" bestFit="1" customWidth="1"/>
    <col min="3330" max="3330" width="15" bestFit="1" customWidth="1"/>
    <col min="3331" max="3331" width="16.453125" bestFit="1" customWidth="1"/>
    <col min="3332" max="3332" width="18.54296875" customWidth="1"/>
    <col min="3333" max="3333" width="0" hidden="1" customWidth="1"/>
    <col min="3335" max="3335" width="69.81640625" bestFit="1" customWidth="1"/>
    <col min="3585" max="3585" width="69.7265625" bestFit="1" customWidth="1"/>
    <col min="3586" max="3586" width="15" bestFit="1" customWidth="1"/>
    <col min="3587" max="3587" width="16.453125" bestFit="1" customWidth="1"/>
    <col min="3588" max="3588" width="18.54296875" customWidth="1"/>
    <col min="3589" max="3589" width="0" hidden="1" customWidth="1"/>
    <col min="3591" max="3591" width="69.81640625" bestFit="1" customWidth="1"/>
    <col min="3841" max="3841" width="69.7265625" bestFit="1" customWidth="1"/>
    <col min="3842" max="3842" width="15" bestFit="1" customWidth="1"/>
    <col min="3843" max="3843" width="16.453125" bestFit="1" customWidth="1"/>
    <col min="3844" max="3844" width="18.54296875" customWidth="1"/>
    <col min="3845" max="3845" width="0" hidden="1" customWidth="1"/>
    <col min="3847" max="3847" width="69.81640625" bestFit="1" customWidth="1"/>
    <col min="4097" max="4097" width="69.7265625" bestFit="1" customWidth="1"/>
    <col min="4098" max="4098" width="15" bestFit="1" customWidth="1"/>
    <col min="4099" max="4099" width="16.453125" bestFit="1" customWidth="1"/>
    <col min="4100" max="4100" width="18.54296875" customWidth="1"/>
    <col min="4101" max="4101" width="0" hidden="1" customWidth="1"/>
    <col min="4103" max="4103" width="69.81640625" bestFit="1" customWidth="1"/>
    <col min="4353" max="4353" width="69.7265625" bestFit="1" customWidth="1"/>
    <col min="4354" max="4354" width="15" bestFit="1" customWidth="1"/>
    <col min="4355" max="4355" width="16.453125" bestFit="1" customWidth="1"/>
    <col min="4356" max="4356" width="18.54296875" customWidth="1"/>
    <col min="4357" max="4357" width="0" hidden="1" customWidth="1"/>
    <col min="4359" max="4359" width="69.81640625" bestFit="1" customWidth="1"/>
    <col min="4609" max="4609" width="69.7265625" bestFit="1" customWidth="1"/>
    <col min="4610" max="4610" width="15" bestFit="1" customWidth="1"/>
    <col min="4611" max="4611" width="16.453125" bestFit="1" customWidth="1"/>
    <col min="4612" max="4612" width="18.54296875" customWidth="1"/>
    <col min="4613" max="4613" width="0" hidden="1" customWidth="1"/>
    <col min="4615" max="4615" width="69.81640625" bestFit="1" customWidth="1"/>
    <col min="4865" max="4865" width="69.7265625" bestFit="1" customWidth="1"/>
    <col min="4866" max="4866" width="15" bestFit="1" customWidth="1"/>
    <col min="4867" max="4867" width="16.453125" bestFit="1" customWidth="1"/>
    <col min="4868" max="4868" width="18.54296875" customWidth="1"/>
    <col min="4869" max="4869" width="0" hidden="1" customWidth="1"/>
    <col min="4871" max="4871" width="69.81640625" bestFit="1" customWidth="1"/>
    <col min="5121" max="5121" width="69.7265625" bestFit="1" customWidth="1"/>
    <col min="5122" max="5122" width="15" bestFit="1" customWidth="1"/>
    <col min="5123" max="5123" width="16.453125" bestFit="1" customWidth="1"/>
    <col min="5124" max="5124" width="18.54296875" customWidth="1"/>
    <col min="5125" max="5125" width="0" hidden="1" customWidth="1"/>
    <col min="5127" max="5127" width="69.81640625" bestFit="1" customWidth="1"/>
    <col min="5377" max="5377" width="69.7265625" bestFit="1" customWidth="1"/>
    <col min="5378" max="5378" width="15" bestFit="1" customWidth="1"/>
    <col min="5379" max="5379" width="16.453125" bestFit="1" customWidth="1"/>
    <col min="5380" max="5380" width="18.54296875" customWidth="1"/>
    <col min="5381" max="5381" width="0" hidden="1" customWidth="1"/>
    <col min="5383" max="5383" width="69.81640625" bestFit="1" customWidth="1"/>
    <col min="5633" max="5633" width="69.7265625" bestFit="1" customWidth="1"/>
    <col min="5634" max="5634" width="15" bestFit="1" customWidth="1"/>
    <col min="5635" max="5635" width="16.453125" bestFit="1" customWidth="1"/>
    <col min="5636" max="5636" width="18.54296875" customWidth="1"/>
    <col min="5637" max="5637" width="0" hidden="1" customWidth="1"/>
    <col min="5639" max="5639" width="69.81640625" bestFit="1" customWidth="1"/>
    <col min="5889" max="5889" width="69.7265625" bestFit="1" customWidth="1"/>
    <col min="5890" max="5890" width="15" bestFit="1" customWidth="1"/>
    <col min="5891" max="5891" width="16.453125" bestFit="1" customWidth="1"/>
    <col min="5892" max="5892" width="18.54296875" customWidth="1"/>
    <col min="5893" max="5893" width="0" hidden="1" customWidth="1"/>
    <col min="5895" max="5895" width="69.81640625" bestFit="1" customWidth="1"/>
    <col min="6145" max="6145" width="69.7265625" bestFit="1" customWidth="1"/>
    <col min="6146" max="6146" width="15" bestFit="1" customWidth="1"/>
    <col min="6147" max="6147" width="16.453125" bestFit="1" customWidth="1"/>
    <col min="6148" max="6148" width="18.54296875" customWidth="1"/>
    <col min="6149" max="6149" width="0" hidden="1" customWidth="1"/>
    <col min="6151" max="6151" width="69.81640625" bestFit="1" customWidth="1"/>
    <col min="6401" max="6401" width="69.7265625" bestFit="1" customWidth="1"/>
    <col min="6402" max="6402" width="15" bestFit="1" customWidth="1"/>
    <col min="6403" max="6403" width="16.453125" bestFit="1" customWidth="1"/>
    <col min="6404" max="6404" width="18.54296875" customWidth="1"/>
    <col min="6405" max="6405" width="0" hidden="1" customWidth="1"/>
    <col min="6407" max="6407" width="69.81640625" bestFit="1" customWidth="1"/>
    <col min="6657" max="6657" width="69.7265625" bestFit="1" customWidth="1"/>
    <col min="6658" max="6658" width="15" bestFit="1" customWidth="1"/>
    <col min="6659" max="6659" width="16.453125" bestFit="1" customWidth="1"/>
    <col min="6660" max="6660" width="18.54296875" customWidth="1"/>
    <col min="6661" max="6661" width="0" hidden="1" customWidth="1"/>
    <col min="6663" max="6663" width="69.81640625" bestFit="1" customWidth="1"/>
    <col min="6913" max="6913" width="69.7265625" bestFit="1" customWidth="1"/>
    <col min="6914" max="6914" width="15" bestFit="1" customWidth="1"/>
    <col min="6915" max="6915" width="16.453125" bestFit="1" customWidth="1"/>
    <col min="6916" max="6916" width="18.54296875" customWidth="1"/>
    <col min="6917" max="6917" width="0" hidden="1" customWidth="1"/>
    <col min="6919" max="6919" width="69.81640625" bestFit="1" customWidth="1"/>
    <col min="7169" max="7169" width="69.7265625" bestFit="1" customWidth="1"/>
    <col min="7170" max="7170" width="15" bestFit="1" customWidth="1"/>
    <col min="7171" max="7171" width="16.453125" bestFit="1" customWidth="1"/>
    <col min="7172" max="7172" width="18.54296875" customWidth="1"/>
    <col min="7173" max="7173" width="0" hidden="1" customWidth="1"/>
    <col min="7175" max="7175" width="69.81640625" bestFit="1" customWidth="1"/>
    <col min="7425" max="7425" width="69.7265625" bestFit="1" customWidth="1"/>
    <col min="7426" max="7426" width="15" bestFit="1" customWidth="1"/>
    <col min="7427" max="7427" width="16.453125" bestFit="1" customWidth="1"/>
    <col min="7428" max="7428" width="18.54296875" customWidth="1"/>
    <col min="7429" max="7429" width="0" hidden="1" customWidth="1"/>
    <col min="7431" max="7431" width="69.81640625" bestFit="1" customWidth="1"/>
    <col min="7681" max="7681" width="69.7265625" bestFit="1" customWidth="1"/>
    <col min="7682" max="7682" width="15" bestFit="1" customWidth="1"/>
    <col min="7683" max="7683" width="16.453125" bestFit="1" customWidth="1"/>
    <col min="7684" max="7684" width="18.54296875" customWidth="1"/>
    <col min="7685" max="7685" width="0" hidden="1" customWidth="1"/>
    <col min="7687" max="7687" width="69.81640625" bestFit="1" customWidth="1"/>
    <col min="7937" max="7937" width="69.7265625" bestFit="1" customWidth="1"/>
    <col min="7938" max="7938" width="15" bestFit="1" customWidth="1"/>
    <col min="7939" max="7939" width="16.453125" bestFit="1" customWidth="1"/>
    <col min="7940" max="7940" width="18.54296875" customWidth="1"/>
    <col min="7941" max="7941" width="0" hidden="1" customWidth="1"/>
    <col min="7943" max="7943" width="69.81640625" bestFit="1" customWidth="1"/>
    <col min="8193" max="8193" width="69.7265625" bestFit="1" customWidth="1"/>
    <col min="8194" max="8194" width="15" bestFit="1" customWidth="1"/>
    <col min="8195" max="8195" width="16.453125" bestFit="1" customWidth="1"/>
    <col min="8196" max="8196" width="18.54296875" customWidth="1"/>
    <col min="8197" max="8197" width="0" hidden="1" customWidth="1"/>
    <col min="8199" max="8199" width="69.81640625" bestFit="1" customWidth="1"/>
    <col min="8449" max="8449" width="69.7265625" bestFit="1" customWidth="1"/>
    <col min="8450" max="8450" width="15" bestFit="1" customWidth="1"/>
    <col min="8451" max="8451" width="16.453125" bestFit="1" customWidth="1"/>
    <col min="8452" max="8452" width="18.54296875" customWidth="1"/>
    <col min="8453" max="8453" width="0" hidden="1" customWidth="1"/>
    <col min="8455" max="8455" width="69.81640625" bestFit="1" customWidth="1"/>
    <col min="8705" max="8705" width="69.7265625" bestFit="1" customWidth="1"/>
    <col min="8706" max="8706" width="15" bestFit="1" customWidth="1"/>
    <col min="8707" max="8707" width="16.453125" bestFit="1" customWidth="1"/>
    <col min="8708" max="8708" width="18.54296875" customWidth="1"/>
    <col min="8709" max="8709" width="0" hidden="1" customWidth="1"/>
    <col min="8711" max="8711" width="69.81640625" bestFit="1" customWidth="1"/>
    <col min="8961" max="8961" width="69.7265625" bestFit="1" customWidth="1"/>
    <col min="8962" max="8962" width="15" bestFit="1" customWidth="1"/>
    <col min="8963" max="8963" width="16.453125" bestFit="1" customWidth="1"/>
    <col min="8964" max="8964" width="18.54296875" customWidth="1"/>
    <col min="8965" max="8965" width="0" hidden="1" customWidth="1"/>
    <col min="8967" max="8967" width="69.81640625" bestFit="1" customWidth="1"/>
    <col min="9217" max="9217" width="69.7265625" bestFit="1" customWidth="1"/>
    <col min="9218" max="9218" width="15" bestFit="1" customWidth="1"/>
    <col min="9219" max="9219" width="16.453125" bestFit="1" customWidth="1"/>
    <col min="9220" max="9220" width="18.54296875" customWidth="1"/>
    <col min="9221" max="9221" width="0" hidden="1" customWidth="1"/>
    <col min="9223" max="9223" width="69.81640625" bestFit="1" customWidth="1"/>
    <col min="9473" max="9473" width="69.7265625" bestFit="1" customWidth="1"/>
    <col min="9474" max="9474" width="15" bestFit="1" customWidth="1"/>
    <col min="9475" max="9475" width="16.453125" bestFit="1" customWidth="1"/>
    <col min="9476" max="9476" width="18.54296875" customWidth="1"/>
    <col min="9477" max="9477" width="0" hidden="1" customWidth="1"/>
    <col min="9479" max="9479" width="69.81640625" bestFit="1" customWidth="1"/>
    <col min="9729" max="9729" width="69.7265625" bestFit="1" customWidth="1"/>
    <col min="9730" max="9730" width="15" bestFit="1" customWidth="1"/>
    <col min="9731" max="9731" width="16.453125" bestFit="1" customWidth="1"/>
    <col min="9732" max="9732" width="18.54296875" customWidth="1"/>
    <col min="9733" max="9733" width="0" hidden="1" customWidth="1"/>
    <col min="9735" max="9735" width="69.81640625" bestFit="1" customWidth="1"/>
    <col min="9985" max="9985" width="69.7265625" bestFit="1" customWidth="1"/>
    <col min="9986" max="9986" width="15" bestFit="1" customWidth="1"/>
    <col min="9987" max="9987" width="16.453125" bestFit="1" customWidth="1"/>
    <col min="9988" max="9988" width="18.54296875" customWidth="1"/>
    <col min="9989" max="9989" width="0" hidden="1" customWidth="1"/>
    <col min="9991" max="9991" width="69.81640625" bestFit="1" customWidth="1"/>
    <col min="10241" max="10241" width="69.7265625" bestFit="1" customWidth="1"/>
    <col min="10242" max="10242" width="15" bestFit="1" customWidth="1"/>
    <col min="10243" max="10243" width="16.453125" bestFit="1" customWidth="1"/>
    <col min="10244" max="10244" width="18.54296875" customWidth="1"/>
    <col min="10245" max="10245" width="0" hidden="1" customWidth="1"/>
    <col min="10247" max="10247" width="69.81640625" bestFit="1" customWidth="1"/>
    <col min="10497" max="10497" width="69.7265625" bestFit="1" customWidth="1"/>
    <col min="10498" max="10498" width="15" bestFit="1" customWidth="1"/>
    <col min="10499" max="10499" width="16.453125" bestFit="1" customWidth="1"/>
    <col min="10500" max="10500" width="18.54296875" customWidth="1"/>
    <col min="10501" max="10501" width="0" hidden="1" customWidth="1"/>
    <col min="10503" max="10503" width="69.81640625" bestFit="1" customWidth="1"/>
    <col min="10753" max="10753" width="69.7265625" bestFit="1" customWidth="1"/>
    <col min="10754" max="10754" width="15" bestFit="1" customWidth="1"/>
    <col min="10755" max="10755" width="16.453125" bestFit="1" customWidth="1"/>
    <col min="10756" max="10756" width="18.54296875" customWidth="1"/>
    <col min="10757" max="10757" width="0" hidden="1" customWidth="1"/>
    <col min="10759" max="10759" width="69.81640625" bestFit="1" customWidth="1"/>
    <col min="11009" max="11009" width="69.7265625" bestFit="1" customWidth="1"/>
    <col min="11010" max="11010" width="15" bestFit="1" customWidth="1"/>
    <col min="11011" max="11011" width="16.453125" bestFit="1" customWidth="1"/>
    <col min="11012" max="11012" width="18.54296875" customWidth="1"/>
    <col min="11013" max="11013" width="0" hidden="1" customWidth="1"/>
    <col min="11015" max="11015" width="69.81640625" bestFit="1" customWidth="1"/>
    <col min="11265" max="11265" width="69.7265625" bestFit="1" customWidth="1"/>
    <col min="11266" max="11266" width="15" bestFit="1" customWidth="1"/>
    <col min="11267" max="11267" width="16.453125" bestFit="1" customWidth="1"/>
    <col min="11268" max="11268" width="18.54296875" customWidth="1"/>
    <col min="11269" max="11269" width="0" hidden="1" customWidth="1"/>
    <col min="11271" max="11271" width="69.81640625" bestFit="1" customWidth="1"/>
    <col min="11521" max="11521" width="69.7265625" bestFit="1" customWidth="1"/>
    <col min="11522" max="11522" width="15" bestFit="1" customWidth="1"/>
    <col min="11523" max="11523" width="16.453125" bestFit="1" customWidth="1"/>
    <col min="11524" max="11524" width="18.54296875" customWidth="1"/>
    <col min="11525" max="11525" width="0" hidden="1" customWidth="1"/>
    <col min="11527" max="11527" width="69.81640625" bestFit="1" customWidth="1"/>
    <col min="11777" max="11777" width="69.7265625" bestFit="1" customWidth="1"/>
    <col min="11778" max="11778" width="15" bestFit="1" customWidth="1"/>
    <col min="11779" max="11779" width="16.453125" bestFit="1" customWidth="1"/>
    <col min="11780" max="11780" width="18.54296875" customWidth="1"/>
    <col min="11781" max="11781" width="0" hidden="1" customWidth="1"/>
    <col min="11783" max="11783" width="69.81640625" bestFit="1" customWidth="1"/>
    <col min="12033" max="12033" width="69.7265625" bestFit="1" customWidth="1"/>
    <col min="12034" max="12034" width="15" bestFit="1" customWidth="1"/>
    <col min="12035" max="12035" width="16.453125" bestFit="1" customWidth="1"/>
    <col min="12036" max="12036" width="18.54296875" customWidth="1"/>
    <col min="12037" max="12037" width="0" hidden="1" customWidth="1"/>
    <col min="12039" max="12039" width="69.81640625" bestFit="1" customWidth="1"/>
    <col min="12289" max="12289" width="69.7265625" bestFit="1" customWidth="1"/>
    <col min="12290" max="12290" width="15" bestFit="1" customWidth="1"/>
    <col min="12291" max="12291" width="16.453125" bestFit="1" customWidth="1"/>
    <col min="12292" max="12292" width="18.54296875" customWidth="1"/>
    <col min="12293" max="12293" width="0" hidden="1" customWidth="1"/>
    <col min="12295" max="12295" width="69.81640625" bestFit="1" customWidth="1"/>
    <col min="12545" max="12545" width="69.7265625" bestFit="1" customWidth="1"/>
    <col min="12546" max="12546" width="15" bestFit="1" customWidth="1"/>
    <col min="12547" max="12547" width="16.453125" bestFit="1" customWidth="1"/>
    <col min="12548" max="12548" width="18.54296875" customWidth="1"/>
    <col min="12549" max="12549" width="0" hidden="1" customWidth="1"/>
    <col min="12551" max="12551" width="69.81640625" bestFit="1" customWidth="1"/>
    <col min="12801" max="12801" width="69.7265625" bestFit="1" customWidth="1"/>
    <col min="12802" max="12802" width="15" bestFit="1" customWidth="1"/>
    <col min="12803" max="12803" width="16.453125" bestFit="1" customWidth="1"/>
    <col min="12804" max="12804" width="18.54296875" customWidth="1"/>
    <col min="12805" max="12805" width="0" hidden="1" customWidth="1"/>
    <col min="12807" max="12807" width="69.81640625" bestFit="1" customWidth="1"/>
    <col min="13057" max="13057" width="69.7265625" bestFit="1" customWidth="1"/>
    <col min="13058" max="13058" width="15" bestFit="1" customWidth="1"/>
    <col min="13059" max="13059" width="16.453125" bestFit="1" customWidth="1"/>
    <col min="13060" max="13060" width="18.54296875" customWidth="1"/>
    <col min="13061" max="13061" width="0" hidden="1" customWidth="1"/>
    <col min="13063" max="13063" width="69.81640625" bestFit="1" customWidth="1"/>
    <col min="13313" max="13313" width="69.7265625" bestFit="1" customWidth="1"/>
    <col min="13314" max="13314" width="15" bestFit="1" customWidth="1"/>
    <col min="13315" max="13315" width="16.453125" bestFit="1" customWidth="1"/>
    <col min="13316" max="13316" width="18.54296875" customWidth="1"/>
    <col min="13317" max="13317" width="0" hidden="1" customWidth="1"/>
    <col min="13319" max="13319" width="69.81640625" bestFit="1" customWidth="1"/>
    <col min="13569" max="13569" width="69.7265625" bestFit="1" customWidth="1"/>
    <col min="13570" max="13570" width="15" bestFit="1" customWidth="1"/>
    <col min="13571" max="13571" width="16.453125" bestFit="1" customWidth="1"/>
    <col min="13572" max="13572" width="18.54296875" customWidth="1"/>
    <col min="13573" max="13573" width="0" hidden="1" customWidth="1"/>
    <col min="13575" max="13575" width="69.81640625" bestFit="1" customWidth="1"/>
    <col min="13825" max="13825" width="69.7265625" bestFit="1" customWidth="1"/>
    <col min="13826" max="13826" width="15" bestFit="1" customWidth="1"/>
    <col min="13827" max="13827" width="16.453125" bestFit="1" customWidth="1"/>
    <col min="13828" max="13828" width="18.54296875" customWidth="1"/>
    <col min="13829" max="13829" width="0" hidden="1" customWidth="1"/>
    <col min="13831" max="13831" width="69.81640625" bestFit="1" customWidth="1"/>
    <col min="14081" max="14081" width="69.7265625" bestFit="1" customWidth="1"/>
    <col min="14082" max="14082" width="15" bestFit="1" customWidth="1"/>
    <col min="14083" max="14083" width="16.453125" bestFit="1" customWidth="1"/>
    <col min="14084" max="14084" width="18.54296875" customWidth="1"/>
    <col min="14085" max="14085" width="0" hidden="1" customWidth="1"/>
    <col min="14087" max="14087" width="69.81640625" bestFit="1" customWidth="1"/>
    <col min="14337" max="14337" width="69.7265625" bestFit="1" customWidth="1"/>
    <col min="14338" max="14338" width="15" bestFit="1" customWidth="1"/>
    <col min="14339" max="14339" width="16.453125" bestFit="1" customWidth="1"/>
    <col min="14340" max="14340" width="18.54296875" customWidth="1"/>
    <col min="14341" max="14341" width="0" hidden="1" customWidth="1"/>
    <col min="14343" max="14343" width="69.81640625" bestFit="1" customWidth="1"/>
    <col min="14593" max="14593" width="69.7265625" bestFit="1" customWidth="1"/>
    <col min="14594" max="14594" width="15" bestFit="1" customWidth="1"/>
    <col min="14595" max="14595" width="16.453125" bestFit="1" customWidth="1"/>
    <col min="14596" max="14596" width="18.54296875" customWidth="1"/>
    <col min="14597" max="14597" width="0" hidden="1" customWidth="1"/>
    <col min="14599" max="14599" width="69.81640625" bestFit="1" customWidth="1"/>
    <col min="14849" max="14849" width="69.7265625" bestFit="1" customWidth="1"/>
    <col min="14850" max="14850" width="15" bestFit="1" customWidth="1"/>
    <col min="14851" max="14851" width="16.453125" bestFit="1" customWidth="1"/>
    <col min="14852" max="14852" width="18.54296875" customWidth="1"/>
    <col min="14853" max="14853" width="0" hidden="1" customWidth="1"/>
    <col min="14855" max="14855" width="69.81640625" bestFit="1" customWidth="1"/>
    <col min="15105" max="15105" width="69.7265625" bestFit="1" customWidth="1"/>
    <col min="15106" max="15106" width="15" bestFit="1" customWidth="1"/>
    <col min="15107" max="15107" width="16.453125" bestFit="1" customWidth="1"/>
    <col min="15108" max="15108" width="18.54296875" customWidth="1"/>
    <col min="15109" max="15109" width="0" hidden="1" customWidth="1"/>
    <col min="15111" max="15111" width="69.81640625" bestFit="1" customWidth="1"/>
    <col min="15361" max="15361" width="69.7265625" bestFit="1" customWidth="1"/>
    <col min="15362" max="15362" width="15" bestFit="1" customWidth="1"/>
    <col min="15363" max="15363" width="16.453125" bestFit="1" customWidth="1"/>
    <col min="15364" max="15364" width="18.54296875" customWidth="1"/>
    <col min="15365" max="15365" width="0" hidden="1" customWidth="1"/>
    <col min="15367" max="15367" width="69.81640625" bestFit="1" customWidth="1"/>
    <col min="15617" max="15617" width="69.7265625" bestFit="1" customWidth="1"/>
    <col min="15618" max="15618" width="15" bestFit="1" customWidth="1"/>
    <col min="15619" max="15619" width="16.453125" bestFit="1" customWidth="1"/>
    <col min="15620" max="15620" width="18.54296875" customWidth="1"/>
    <col min="15621" max="15621" width="0" hidden="1" customWidth="1"/>
    <col min="15623" max="15623" width="69.81640625" bestFit="1" customWidth="1"/>
    <col min="15873" max="15873" width="69.7265625" bestFit="1" customWidth="1"/>
    <col min="15874" max="15874" width="15" bestFit="1" customWidth="1"/>
    <col min="15875" max="15875" width="16.453125" bestFit="1" customWidth="1"/>
    <col min="15876" max="15876" width="18.54296875" customWidth="1"/>
    <col min="15877" max="15877" width="0" hidden="1" customWidth="1"/>
    <col min="15879" max="15879" width="69.81640625" bestFit="1" customWidth="1"/>
    <col min="16129" max="16129" width="69.7265625" bestFit="1" customWidth="1"/>
    <col min="16130" max="16130" width="15" bestFit="1" customWidth="1"/>
    <col min="16131" max="16131" width="16.453125" bestFit="1" customWidth="1"/>
    <col min="16132" max="16132" width="18.54296875" customWidth="1"/>
    <col min="16133" max="16133" width="0" hidden="1" customWidth="1"/>
    <col min="16135" max="16135" width="69.81640625" bestFit="1" customWidth="1"/>
  </cols>
  <sheetData>
    <row r="1" spans="1:6" x14ac:dyDescent="0.35">
      <c r="A1" s="1" t="s">
        <v>18</v>
      </c>
      <c r="E1" s="24">
        <f ca="1">NOW()</f>
        <v>42030.650164699073</v>
      </c>
    </row>
    <row r="2" spans="1:6" x14ac:dyDescent="0.35">
      <c r="A2" s="1" t="s">
        <v>93</v>
      </c>
    </row>
    <row r="3" spans="1:6" x14ac:dyDescent="0.35">
      <c r="A3" s="1"/>
    </row>
    <row r="4" spans="1:6" ht="16" thickBot="1" x14ac:dyDescent="0.4">
      <c r="A4" s="5" t="s">
        <v>48</v>
      </c>
    </row>
    <row r="6" spans="1:6" ht="16" thickBot="1" x14ac:dyDescent="0.4">
      <c r="A6" s="5" t="s">
        <v>22</v>
      </c>
      <c r="B6" s="23"/>
      <c r="C6" s="23"/>
    </row>
    <row r="7" spans="1:6" s="3" customFormat="1" ht="31.5" thickBot="1" x14ac:dyDescent="0.4">
      <c r="A7" s="2" t="s">
        <v>1</v>
      </c>
      <c r="B7" s="17" t="s">
        <v>19</v>
      </c>
      <c r="C7" s="26" t="s">
        <v>21</v>
      </c>
      <c r="D7" s="26" t="s">
        <v>20</v>
      </c>
      <c r="F7" s="82" t="s">
        <v>91</v>
      </c>
    </row>
    <row r="8" spans="1:6" s="6" customFormat="1" ht="16" thickBot="1" x14ac:dyDescent="0.4">
      <c r="A8" s="1" t="s">
        <v>0</v>
      </c>
      <c r="B8" s="18">
        <f>+[2]Summary!$C$71</f>
        <v>4710057.4589110631</v>
      </c>
      <c r="C8" s="18">
        <f>+B32</f>
        <v>2988595.2218508273</v>
      </c>
      <c r="D8" s="18">
        <f>+C32</f>
        <v>278391.21187393367</v>
      </c>
    </row>
    <row r="9" spans="1:6" x14ac:dyDescent="0.35">
      <c r="A9" s="4"/>
      <c r="B9" s="19"/>
      <c r="C9" s="19"/>
    </row>
    <row r="10" spans="1:6" s="6" customFormat="1" ht="16" thickBot="1" x14ac:dyDescent="0.4">
      <c r="A10" s="5" t="s">
        <v>2</v>
      </c>
      <c r="B10" s="32"/>
      <c r="C10" s="8"/>
      <c r="D10" s="27"/>
      <c r="F10" s="85"/>
    </row>
    <row r="11" spans="1:6" s="6" customFormat="1" x14ac:dyDescent="0.35">
      <c r="A11" s="12" t="s">
        <v>11</v>
      </c>
      <c r="B11" s="20"/>
      <c r="C11" s="20"/>
      <c r="D11" s="20"/>
      <c r="F11" s="85" t="str">
        <f>IF(C11=0,"N/A",+D11/B11-1)</f>
        <v>N/A</v>
      </c>
    </row>
    <row r="12" spans="1:6" s="6" customFormat="1" x14ac:dyDescent="0.35">
      <c r="A12" s="12" t="s">
        <v>12</v>
      </c>
      <c r="B12" s="20"/>
      <c r="C12" s="20"/>
      <c r="D12" s="20"/>
      <c r="F12" s="85" t="str">
        <f t="shared" ref="F12:F15" si="0">IF(C12=0,"N/A",+D12/B12-1)</f>
        <v>N/A</v>
      </c>
    </row>
    <row r="13" spans="1:6" s="6" customFormat="1" x14ac:dyDescent="0.35">
      <c r="A13" s="12" t="s">
        <v>10</v>
      </c>
      <c r="B13" s="20">
        <f>+'Revenue Projections'!B21</f>
        <v>1125555</v>
      </c>
      <c r="C13" s="20">
        <f>+'Revenue Projections'!C21</f>
        <v>1125555</v>
      </c>
      <c r="D13" s="20">
        <f>+'Revenue Projections'!D21</f>
        <v>1280535</v>
      </c>
      <c r="F13" s="85">
        <f t="shared" si="0"/>
        <v>0.13769207191119048</v>
      </c>
    </row>
    <row r="14" spans="1:6" s="6" customFormat="1" ht="16" thickBot="1" x14ac:dyDescent="0.4">
      <c r="A14" s="12" t="s">
        <v>13</v>
      </c>
      <c r="B14" s="20">
        <f>+'Revenue Projections'!B6+'Revenue Projections'!B11</f>
        <v>69216541</v>
      </c>
      <c r="C14" s="20">
        <f>+'Revenue Projections'!C6+'Revenue Projections'!C11</f>
        <v>72131974.415418014</v>
      </c>
      <c r="D14" s="20">
        <f>+'Revenue Projections'!D6+'Revenue Projections'!D11</f>
        <v>74995397.466372728</v>
      </c>
      <c r="F14" s="85">
        <f t="shared" si="0"/>
        <v>8.3489529856349387E-2</v>
      </c>
    </row>
    <row r="15" spans="1:6" s="6" customFormat="1" ht="16" thickBot="1" x14ac:dyDescent="0.4">
      <c r="A15" s="9" t="s">
        <v>14</v>
      </c>
      <c r="B15" s="18">
        <f>SUM(B11:B14)</f>
        <v>70342096</v>
      </c>
      <c r="C15" s="18">
        <f>SUM(C11:C14)</f>
        <v>73257529.415418014</v>
      </c>
      <c r="D15" s="18">
        <f>SUM(D11:D14)</f>
        <v>76275932.466372728</v>
      </c>
      <c r="F15" s="85">
        <f t="shared" si="0"/>
        <v>8.4356833301821643E-2</v>
      </c>
    </row>
    <row r="16" spans="1:6" s="6" customFormat="1" x14ac:dyDescent="0.35">
      <c r="A16" s="10"/>
      <c r="B16" s="32"/>
      <c r="C16" s="8"/>
      <c r="D16" s="27"/>
      <c r="F16" s="85"/>
    </row>
    <row r="17" spans="1:7" ht="16" thickBot="1" x14ac:dyDescent="0.4">
      <c r="A17" s="13" t="s">
        <v>3</v>
      </c>
      <c r="B17" s="19"/>
      <c r="C17" s="19"/>
      <c r="F17" s="84"/>
    </row>
    <row r="18" spans="1:7" x14ac:dyDescent="0.35">
      <c r="A18" s="10" t="s">
        <v>23</v>
      </c>
      <c r="B18" s="20">
        <f>(23522391*1.02)</f>
        <v>23992838.82</v>
      </c>
      <c r="C18" s="20">
        <v>25128107.82</v>
      </c>
      <c r="D18" s="20">
        <v>26175192.976399999</v>
      </c>
      <c r="F18" s="85">
        <f t="shared" ref="F18:F32" si="1">IF(C18=0,"N/A",+D18/B18-1)</f>
        <v>9.0958563626944766E-2</v>
      </c>
    </row>
    <row r="19" spans="1:7" x14ac:dyDescent="0.35">
      <c r="A19" s="10" t="s">
        <v>24</v>
      </c>
      <c r="B19" s="20">
        <f>(4653859.52*1.02)</f>
        <v>4746936.7103999993</v>
      </c>
      <c r="C19" s="20">
        <v>4824139.7103999993</v>
      </c>
      <c r="D19" s="20">
        <v>4997824.5046079997</v>
      </c>
      <c r="F19" s="85">
        <f t="shared" si="1"/>
        <v>5.2852567774567927E-2</v>
      </c>
    </row>
    <row r="20" spans="1:7" x14ac:dyDescent="0.35">
      <c r="A20" s="10" t="s">
        <v>26</v>
      </c>
      <c r="B20" s="20">
        <v>7725199</v>
      </c>
      <c r="C20" s="20">
        <v>7983219.9800000004</v>
      </c>
      <c r="D20" s="20">
        <v>8169204.3796000006</v>
      </c>
      <c r="F20" s="85">
        <f t="shared" si="1"/>
        <v>5.7474943959372471E-2</v>
      </c>
    </row>
    <row r="21" spans="1:7" x14ac:dyDescent="0.35">
      <c r="A21" s="10" t="s">
        <v>25</v>
      </c>
      <c r="B21" s="20">
        <v>2158135</v>
      </c>
      <c r="C21" s="20">
        <v>2201297.7000000002</v>
      </c>
      <c r="D21" s="20">
        <v>2245323.6540000001</v>
      </c>
      <c r="F21" s="85">
        <f t="shared" si="1"/>
        <v>4.0399999999999991E-2</v>
      </c>
    </row>
    <row r="22" spans="1:7" x14ac:dyDescent="0.35">
      <c r="A22" s="10" t="s">
        <v>28</v>
      </c>
      <c r="B22" s="20">
        <f>6401068+(B18*0.02*0.1188)</f>
        <v>6458074.9850363201</v>
      </c>
      <c r="C22" s="20">
        <v>7028720.9731757501</v>
      </c>
      <c r="D22" s="20">
        <v>7217673.4128872501</v>
      </c>
      <c r="F22" s="85">
        <f t="shared" si="1"/>
        <v>0.11761994551177524</v>
      </c>
    </row>
    <row r="23" spans="1:7" x14ac:dyDescent="0.35">
      <c r="A23" s="10" t="s">
        <v>27</v>
      </c>
      <c r="B23" s="20">
        <f>3846081+(B19*0.02*0.1188)</f>
        <v>3857359.7216239106</v>
      </c>
      <c r="C23" s="20">
        <v>3874105.12698624</v>
      </c>
      <c r="D23" s="20">
        <v>3879443.7231771187</v>
      </c>
      <c r="F23" s="85">
        <f t="shared" si="1"/>
        <v>5.725159992055584E-3</v>
      </c>
      <c r="G23" s="45"/>
    </row>
    <row r="24" spans="1:7" x14ac:dyDescent="0.35">
      <c r="A24" s="10" t="s">
        <v>7</v>
      </c>
      <c r="B24" s="20">
        <v>1357910</v>
      </c>
      <c r="C24" s="20">
        <v>1500056.2</v>
      </c>
      <c r="D24" s="20">
        <v>1534701.324</v>
      </c>
      <c r="F24" s="85">
        <f t="shared" si="1"/>
        <v>0.13019369766773936</v>
      </c>
    </row>
    <row r="25" spans="1:7" x14ac:dyDescent="0.35">
      <c r="A25" s="10" t="s">
        <v>8</v>
      </c>
      <c r="B25" s="20">
        <v>4723445</v>
      </c>
      <c r="C25" s="20">
        <v>4817913.9000000004</v>
      </c>
      <c r="D25" s="20">
        <v>4914272.1780000003</v>
      </c>
      <c r="F25" s="85">
        <f t="shared" si="1"/>
        <v>4.0399999999999991E-2</v>
      </c>
    </row>
    <row r="26" spans="1:7" x14ac:dyDescent="0.35">
      <c r="A26" s="10" t="s">
        <v>9</v>
      </c>
      <c r="B26" s="20">
        <v>887345</v>
      </c>
      <c r="C26" s="20">
        <v>2014741.9</v>
      </c>
      <c r="D26" s="20">
        <v>945386.7379999999</v>
      </c>
      <c r="F26" s="85">
        <f t="shared" si="1"/>
        <v>6.5410565225475947E-2</v>
      </c>
    </row>
    <row r="27" spans="1:7" x14ac:dyDescent="0.35">
      <c r="A27" s="10" t="s">
        <v>4</v>
      </c>
      <c r="B27" s="20">
        <v>195775</v>
      </c>
      <c r="C27" s="20">
        <v>199690.5</v>
      </c>
      <c r="D27" s="20">
        <v>203684.31</v>
      </c>
      <c r="F27" s="85">
        <f t="shared" si="1"/>
        <v>4.0399999999999991E-2</v>
      </c>
    </row>
    <row r="28" spans="1:7" x14ac:dyDescent="0.35">
      <c r="A28" s="10" t="s">
        <v>67</v>
      </c>
      <c r="B28" s="20">
        <v>14707977</v>
      </c>
      <c r="C28" s="20">
        <v>15118126.374832921</v>
      </c>
      <c r="D28" s="20">
        <v>15607846.421098607</v>
      </c>
      <c r="F28" s="85">
        <f t="shared" si="1"/>
        <v>6.1182406057516125E-2</v>
      </c>
    </row>
    <row r="29" spans="1:7" ht="16" thickBot="1" x14ac:dyDescent="0.4">
      <c r="A29" s="10" t="s">
        <v>16</v>
      </c>
      <c r="B29" s="20">
        <v>1252562</v>
      </c>
      <c r="C29" s="20">
        <v>1277613.24</v>
      </c>
      <c r="D29" s="20">
        <v>1303165.5048</v>
      </c>
      <c r="F29" s="85">
        <f t="shared" si="1"/>
        <v>4.0399999999999991E-2</v>
      </c>
    </row>
    <row r="30" spans="1:7" s="6" customFormat="1" x14ac:dyDescent="0.35">
      <c r="A30" s="11" t="s">
        <v>6</v>
      </c>
      <c r="B30" s="60">
        <f>SUM(B17:B29)</f>
        <v>72063558.237060234</v>
      </c>
      <c r="C30" s="60">
        <f>SUM(C17:C29)</f>
        <v>75967733.425394908</v>
      </c>
      <c r="D30" s="60">
        <f>SUM(D17:D29)</f>
        <v>77193719.126571</v>
      </c>
      <c r="F30" s="85">
        <f t="shared" si="1"/>
        <v>7.118939190644169E-2</v>
      </c>
    </row>
    <row r="31" spans="1:7" x14ac:dyDescent="0.35">
      <c r="A31" s="1"/>
      <c r="B31" s="19"/>
      <c r="C31" s="19"/>
      <c r="D31" s="29"/>
      <c r="F31" s="85"/>
    </row>
    <row r="32" spans="1:7" s="6" customFormat="1" ht="16" thickBot="1" x14ac:dyDescent="0.4">
      <c r="A32" s="1" t="s">
        <v>5</v>
      </c>
      <c r="B32" s="30">
        <f>+B8+B15-B30</f>
        <v>2988595.2218508273</v>
      </c>
      <c r="C32" s="30">
        <f t="shared" ref="C32:D32" si="2">+C8+C15-C30</f>
        <v>278391.21187393367</v>
      </c>
      <c r="D32" s="30">
        <f t="shared" si="2"/>
        <v>-639395.4483243376</v>
      </c>
      <c r="F32" s="85">
        <f t="shared" si="1"/>
        <v>-1.2139451484260761</v>
      </c>
    </row>
    <row r="33" spans="1:7" x14ac:dyDescent="0.35">
      <c r="A33" s="15"/>
      <c r="B33" s="21"/>
      <c r="C33" s="21"/>
      <c r="D33" s="31"/>
      <c r="F33" s="85"/>
    </row>
    <row r="34" spans="1:7" s="6" customFormat="1" ht="16" thickBot="1" x14ac:dyDescent="0.4">
      <c r="A34" s="1" t="s">
        <v>17</v>
      </c>
      <c r="B34" s="30">
        <f>+B32-B8</f>
        <v>-1721462.2370602358</v>
      </c>
      <c r="C34" s="30">
        <f>+C32-C8</f>
        <v>-2710204.0099768937</v>
      </c>
      <c r="D34" s="30">
        <f>+D32-D8</f>
        <v>-917786.66019827127</v>
      </c>
    </row>
    <row r="35" spans="1:7" x14ac:dyDescent="0.35">
      <c r="B35" s="21"/>
      <c r="D35" s="28"/>
    </row>
    <row r="36" spans="1:7" hidden="1" x14ac:dyDescent="0.35">
      <c r="B36" s="21"/>
      <c r="C36" s="34"/>
      <c r="D36" s="28"/>
    </row>
    <row r="37" spans="1:7" hidden="1" x14ac:dyDescent="0.35">
      <c r="B37" s="21"/>
      <c r="C37" s="34"/>
      <c r="D37" s="28"/>
    </row>
    <row r="38" spans="1:7" ht="31.5" hidden="1" thickBot="1" x14ac:dyDescent="0.4">
      <c r="A38" s="2" t="s">
        <v>37</v>
      </c>
      <c r="B38" s="38" t="s">
        <v>19</v>
      </c>
      <c r="C38" s="39" t="s">
        <v>21</v>
      </c>
      <c r="D38" s="40" t="s">
        <v>20</v>
      </c>
    </row>
    <row r="39" spans="1:7" ht="12.5" hidden="1" x14ac:dyDescent="0.25">
      <c r="A39" t="s">
        <v>49</v>
      </c>
      <c r="B39" s="21"/>
      <c r="C39" s="34">
        <v>1360000</v>
      </c>
      <c r="D39" s="97">
        <f>8*85000</f>
        <v>680000</v>
      </c>
    </row>
    <row r="40" spans="1:7" ht="12.5" hidden="1" x14ac:dyDescent="0.25">
      <c r="A40" t="s">
        <v>68</v>
      </c>
      <c r="B40" s="73">
        <v>361245.52</v>
      </c>
      <c r="C40" s="34"/>
      <c r="D40" s="46"/>
    </row>
    <row r="41" spans="1:7" ht="14" hidden="1" x14ac:dyDescent="0.3">
      <c r="A41" t="s">
        <v>79</v>
      </c>
      <c r="B41" s="21"/>
      <c r="C41" s="34">
        <v>1494572.39</v>
      </c>
      <c r="D41" s="71">
        <v>129613</v>
      </c>
    </row>
    <row r="42" spans="1:7" hidden="1" x14ac:dyDescent="0.35">
      <c r="B42" s="21"/>
      <c r="C42" s="34"/>
      <c r="D42" s="28"/>
    </row>
    <row r="43" spans="1:7" hidden="1" x14ac:dyDescent="0.35">
      <c r="B43" s="21"/>
      <c r="C43" s="34"/>
      <c r="D43" s="28"/>
    </row>
    <row r="44" spans="1:7" hidden="1" x14ac:dyDescent="0.35">
      <c r="B44" s="21"/>
      <c r="C44" s="34"/>
      <c r="D44" s="28"/>
    </row>
    <row r="45" spans="1:7" hidden="1" x14ac:dyDescent="0.35">
      <c r="B45" s="21"/>
      <c r="C45" s="34"/>
      <c r="D45" s="28"/>
    </row>
    <row r="46" spans="1:7" ht="16" hidden="1" thickBot="1" x14ac:dyDescent="0.4">
      <c r="A46" s="37" t="s">
        <v>31</v>
      </c>
      <c r="B46" s="33"/>
      <c r="C46" s="21"/>
      <c r="D46" s="28"/>
    </row>
    <row r="47" spans="1:7" ht="13" hidden="1" thickTop="1" x14ac:dyDescent="0.25">
      <c r="A47" t="s">
        <v>32</v>
      </c>
      <c r="B47" s="62">
        <v>247</v>
      </c>
      <c r="C47" s="63">
        <f>263+12</f>
        <v>275</v>
      </c>
      <c r="D47" s="62">
        <f>275+8</f>
        <v>283</v>
      </c>
      <c r="E47" s="47"/>
      <c r="F47" s="47"/>
      <c r="G47" s="48"/>
    </row>
    <row r="48" spans="1:7" ht="12.5" hidden="1" x14ac:dyDescent="0.25">
      <c r="A48" t="s">
        <v>33</v>
      </c>
      <c r="B48" s="62">
        <v>125</v>
      </c>
      <c r="C48" s="63">
        <v>138</v>
      </c>
      <c r="D48" s="62">
        <v>146</v>
      </c>
    </row>
    <row r="49" spans="1:7" ht="12.5" hidden="1" x14ac:dyDescent="0.25">
      <c r="A49" t="s">
        <v>50</v>
      </c>
      <c r="B49" s="63">
        <v>131.86000000000001</v>
      </c>
      <c r="C49" s="63">
        <v>132.86000000000001</v>
      </c>
      <c r="D49" s="62">
        <v>132.86000000000001</v>
      </c>
    </row>
    <row r="50" spans="1:7" ht="13" hidden="1" thickBot="1" x14ac:dyDescent="0.3">
      <c r="A50" t="s">
        <v>30</v>
      </c>
      <c r="B50" s="63">
        <v>32.5</v>
      </c>
      <c r="C50" s="63">
        <v>34.75</v>
      </c>
      <c r="D50" s="63">
        <v>34.75</v>
      </c>
    </row>
    <row r="51" spans="1:7" ht="13" hidden="1" thickBot="1" x14ac:dyDescent="0.3">
      <c r="A51" t="s">
        <v>51</v>
      </c>
      <c r="B51" s="61">
        <f>SUM(B47:B50)</f>
        <v>536.36</v>
      </c>
      <c r="C51" s="61">
        <f t="shared" ref="C51:E51" si="3">SUM(C47:C50)</f>
        <v>580.61</v>
      </c>
      <c r="D51" s="61">
        <f t="shared" si="3"/>
        <v>596.61</v>
      </c>
      <c r="E51" s="61">
        <f t="shared" si="3"/>
        <v>0</v>
      </c>
    </row>
    <row r="52" spans="1:7" hidden="1" x14ac:dyDescent="0.35">
      <c r="D52" s="35"/>
    </row>
    <row r="53" spans="1:7" ht="28.5" hidden="1" thickBot="1" x14ac:dyDescent="0.35">
      <c r="A53" t="s">
        <v>82</v>
      </c>
      <c r="C53" s="75" t="s">
        <v>81</v>
      </c>
      <c r="D53" s="81" t="s">
        <v>87</v>
      </c>
    </row>
    <row r="54" spans="1:7" hidden="1" x14ac:dyDescent="0.35">
      <c r="B54" s="16" t="s">
        <v>86</v>
      </c>
      <c r="C54" s="72">
        <f>+C47-B47</f>
        <v>28</v>
      </c>
      <c r="D54" s="76">
        <f>+C54*67000</f>
        <v>1876000</v>
      </c>
    </row>
    <row r="55" spans="1:7" hidden="1" x14ac:dyDescent="0.35">
      <c r="B55" s="16" t="s">
        <v>80</v>
      </c>
      <c r="C55" s="72">
        <f>+C48-B48</f>
        <v>13</v>
      </c>
      <c r="D55" s="76">
        <f>+C55*(1050*30)</f>
        <v>409500</v>
      </c>
    </row>
    <row r="56" spans="1:7" ht="16" hidden="1" thickBot="1" x14ac:dyDescent="0.4">
      <c r="B56" s="16" t="s">
        <v>88</v>
      </c>
      <c r="C56" s="74" t="s">
        <v>89</v>
      </c>
      <c r="D56" s="76">
        <f>((+B18+B19)*0.02)*2</f>
        <v>1149591.021216</v>
      </c>
      <c r="G56">
        <f>+C39/28</f>
        <v>48571.428571428572</v>
      </c>
    </row>
    <row r="57" spans="1:7" ht="16" hidden="1" thickBot="1" x14ac:dyDescent="0.4">
      <c r="B57" s="80" t="s">
        <v>85</v>
      </c>
      <c r="D57" s="77">
        <f>SUM(D54:D56)</f>
        <v>3435091.021216</v>
      </c>
    </row>
    <row r="58" spans="1:7" hidden="1" x14ac:dyDescent="0.35">
      <c r="D58" s="76"/>
    </row>
    <row r="59" spans="1:7" ht="16" hidden="1" thickBot="1" x14ac:dyDescent="0.4">
      <c r="B59" t="s">
        <v>84</v>
      </c>
      <c r="D59" s="78">
        <f>+C18+C19-B18-B19</f>
        <v>1212472.0000000009</v>
      </c>
    </row>
    <row r="60" spans="1:7" hidden="1" x14ac:dyDescent="0.35">
      <c r="D60" s="76"/>
    </row>
    <row r="61" spans="1:7" ht="16" hidden="1" thickBot="1" x14ac:dyDescent="0.4">
      <c r="B61" s="16" t="s">
        <v>83</v>
      </c>
      <c r="D61" s="79">
        <f>+D59-D57</f>
        <v>-2222619.021215999</v>
      </c>
    </row>
    <row r="62" spans="1:7" ht="16" hidden="1" thickTop="1" x14ac:dyDescent="0.35"/>
    <row r="63" spans="1:7" hidden="1" x14ac:dyDescent="0.35"/>
    <row r="64" spans="1:7" hidden="1" x14ac:dyDescent="0.35">
      <c r="A64" t="s">
        <v>90</v>
      </c>
      <c r="B64" s="21">
        <v>2380000</v>
      </c>
      <c r="C64" s="21">
        <v>3570000</v>
      </c>
      <c r="D64" s="29">
        <f>+B64-C64</f>
        <v>-1190000</v>
      </c>
    </row>
    <row r="65" spans="2:4" hidden="1" x14ac:dyDescent="0.35">
      <c r="B65" s="21">
        <v>714000</v>
      </c>
      <c r="C65" s="21">
        <v>1071000</v>
      </c>
      <c r="D65" s="29">
        <f>+B65-C65</f>
        <v>-357000</v>
      </c>
    </row>
    <row r="66" spans="2:4" ht="12.5" hidden="1" x14ac:dyDescent="0.25">
      <c r="B66" s="21">
        <f>SUM(B64:B65)</f>
        <v>3094000</v>
      </c>
      <c r="C66" s="21">
        <f t="shared" ref="C66:D66" si="4">SUM(C64:C65)</f>
        <v>4641000</v>
      </c>
      <c r="D66" s="21">
        <f t="shared" si="4"/>
        <v>-1547000</v>
      </c>
    </row>
    <row r="67" spans="2:4" hidden="1" x14ac:dyDescent="0.35"/>
    <row r="68" spans="2:4" hidden="1" x14ac:dyDescent="0.35"/>
  </sheetData>
  <printOptions gridLines="1"/>
  <pageMargins left="0.7" right="0.7" top="0.75" bottom="0.75" header="0.3" footer="0.3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56"/>
  <sheetViews>
    <sheetView topLeftCell="A28" workbookViewId="0">
      <selection activeCell="B20" sqref="B20"/>
    </sheetView>
  </sheetViews>
  <sheetFormatPr defaultRowHeight="15.5" x14ac:dyDescent="0.35"/>
  <cols>
    <col min="1" max="1" width="65.1796875" bestFit="1" customWidth="1"/>
    <col min="2" max="2" width="14.453125" style="16" customWidth="1"/>
    <col min="3" max="3" width="16.453125" style="16" bestFit="1" customWidth="1"/>
    <col min="4" max="4" width="18.54296875" style="25" customWidth="1"/>
    <col min="5" max="5" width="0" hidden="1" customWidth="1"/>
    <col min="6" max="6" width="9.54296875" customWidth="1"/>
  </cols>
  <sheetData>
    <row r="1" spans="1:6" x14ac:dyDescent="0.35">
      <c r="A1" s="1" t="s">
        <v>18</v>
      </c>
      <c r="E1" s="24">
        <f ca="1">NOW()</f>
        <v>42030.650164699073</v>
      </c>
    </row>
    <row r="2" spans="1:6" x14ac:dyDescent="0.35">
      <c r="A2" s="1" t="s">
        <v>93</v>
      </c>
    </row>
    <row r="3" spans="1:6" x14ac:dyDescent="0.35">
      <c r="A3" s="1"/>
    </row>
    <row r="4" spans="1:6" ht="16" thickBot="1" x14ac:dyDescent="0.4">
      <c r="A4" s="5" t="s">
        <v>52</v>
      </c>
    </row>
    <row r="6" spans="1:6" ht="16" thickBot="1" x14ac:dyDescent="0.4">
      <c r="A6" s="5" t="s">
        <v>22</v>
      </c>
      <c r="B6" s="23"/>
      <c r="C6" s="23"/>
    </row>
    <row r="7" spans="1:6" s="3" customFormat="1" ht="31.5" thickBot="1" x14ac:dyDescent="0.4">
      <c r="A7" s="2" t="s">
        <v>1</v>
      </c>
      <c r="B7" s="17" t="s">
        <v>19</v>
      </c>
      <c r="C7" s="26" t="s">
        <v>21</v>
      </c>
      <c r="D7" s="26" t="s">
        <v>20</v>
      </c>
      <c r="F7" s="82" t="s">
        <v>91</v>
      </c>
    </row>
    <row r="8" spans="1:6" s="6" customFormat="1" ht="16" thickBot="1" x14ac:dyDescent="0.4">
      <c r="A8" s="1" t="s">
        <v>0</v>
      </c>
      <c r="B8" s="18">
        <f>+[2]Summary!$D$71</f>
        <v>4476134.5495275659</v>
      </c>
      <c r="C8" s="18">
        <f>+B33</f>
        <v>4583509.5452630483</v>
      </c>
      <c r="D8" s="18">
        <f>+C33</f>
        <v>3518422.3732050471</v>
      </c>
    </row>
    <row r="9" spans="1:6" x14ac:dyDescent="0.35">
      <c r="A9" s="4"/>
      <c r="B9" s="19"/>
      <c r="C9" s="19"/>
    </row>
    <row r="10" spans="1:6" s="6" customFormat="1" ht="16" thickBot="1" x14ac:dyDescent="0.4">
      <c r="A10" s="5" t="s">
        <v>2</v>
      </c>
      <c r="B10" s="32"/>
      <c r="C10" s="8"/>
      <c r="D10" s="27"/>
    </row>
    <row r="11" spans="1:6" s="6" customFormat="1" x14ac:dyDescent="0.35">
      <c r="A11" s="12" t="s">
        <v>11</v>
      </c>
      <c r="B11" s="20">
        <f>+'Revenue Projections'!B17</f>
        <v>3000</v>
      </c>
      <c r="C11" s="20">
        <f>+'Revenue Projections'!C17</f>
        <v>3000</v>
      </c>
      <c r="D11" s="20">
        <f>+'Revenue Projections'!D17</f>
        <v>3000</v>
      </c>
      <c r="F11" s="85">
        <f>IF(C11=0,"N/A",+D11/B11-1)</f>
        <v>0</v>
      </c>
    </row>
    <row r="12" spans="1:6" s="6" customFormat="1" x14ac:dyDescent="0.35">
      <c r="A12" s="12" t="s">
        <v>12</v>
      </c>
      <c r="B12" s="20"/>
      <c r="C12" s="20"/>
      <c r="D12" s="20"/>
      <c r="F12" s="85" t="str">
        <f t="shared" ref="F12:F16" si="0">IF(C12=0,"N/A",+D12/B12-1)</f>
        <v>N/A</v>
      </c>
    </row>
    <row r="13" spans="1:6" s="6" customFormat="1" x14ac:dyDescent="0.35">
      <c r="A13" s="12" t="s">
        <v>10</v>
      </c>
      <c r="B13" s="20">
        <f>+'Revenue Projections'!B22</f>
        <v>339000</v>
      </c>
      <c r="C13" s="20">
        <f>+'Revenue Projections'!C22</f>
        <v>339000</v>
      </c>
      <c r="D13" s="20">
        <f>+'Revenue Projections'!D22</f>
        <v>339000</v>
      </c>
      <c r="F13" s="85">
        <f t="shared" si="0"/>
        <v>0</v>
      </c>
    </row>
    <row r="14" spans="1:6" s="6" customFormat="1" ht="16" thickBot="1" x14ac:dyDescent="0.4">
      <c r="A14" s="12" t="s">
        <v>13</v>
      </c>
      <c r="B14" s="20">
        <f>+'Revenue Projections'!B7+'Revenue Projections'!B12</f>
        <v>19746945.025735483</v>
      </c>
      <c r="C14" s="20">
        <f>+'Revenue Projections'!C7+'Revenue Projections'!C12</f>
        <v>19629145.226250194</v>
      </c>
      <c r="D14" s="20">
        <f>+'Revenue Projections'!D7+'Revenue Projections'!D12</f>
        <v>20162659.756322</v>
      </c>
      <c r="F14" s="85">
        <f t="shared" si="0"/>
        <v>2.1052103504857644E-2</v>
      </c>
    </row>
    <row r="15" spans="1:6" s="6" customFormat="1" ht="16" hidden="1" thickBot="1" x14ac:dyDescent="0.4">
      <c r="A15" s="12" t="s">
        <v>13</v>
      </c>
      <c r="B15" s="20"/>
      <c r="C15" s="14"/>
      <c r="D15" s="28">
        <f>+'[1]2010-11 Carryover'!H16</f>
        <v>0</v>
      </c>
      <c r="F15" s="85" t="str">
        <f t="shared" si="0"/>
        <v>N/A</v>
      </c>
    </row>
    <row r="16" spans="1:6" s="6" customFormat="1" ht="16" thickBot="1" x14ac:dyDescent="0.4">
      <c r="A16" s="9" t="s">
        <v>14</v>
      </c>
      <c r="B16" s="18">
        <f>SUM(B11:B15)</f>
        <v>20088945.025735483</v>
      </c>
      <c r="C16" s="18">
        <f t="shared" ref="C16:D16" si="1">SUM(C11:C15)</f>
        <v>19971145.226250194</v>
      </c>
      <c r="D16" s="18">
        <f t="shared" si="1"/>
        <v>20504659.756322</v>
      </c>
      <c r="F16" s="85">
        <f t="shared" si="0"/>
        <v>2.0693706416835544E-2</v>
      </c>
    </row>
    <row r="17" spans="1:6" s="6" customFormat="1" x14ac:dyDescent="0.35">
      <c r="A17" s="10"/>
      <c r="B17" s="32"/>
      <c r="C17" s="8"/>
      <c r="D17" s="27"/>
      <c r="F17" s="84"/>
    </row>
    <row r="18" spans="1:6" ht="16" thickBot="1" x14ac:dyDescent="0.4">
      <c r="A18" s="13" t="s">
        <v>3</v>
      </c>
      <c r="B18" s="19"/>
      <c r="C18" s="19"/>
      <c r="F18" s="85"/>
    </row>
    <row r="19" spans="1:6" x14ac:dyDescent="0.35">
      <c r="A19" s="10" t="s">
        <v>23</v>
      </c>
      <c r="B19" s="20">
        <v>5722500.3599999994</v>
      </c>
      <c r="C19" s="20">
        <v>5898770.79</v>
      </c>
      <c r="D19" s="20">
        <v>6262715.9699999997</v>
      </c>
      <c r="F19" s="85">
        <f t="shared" ref="F19:F33" si="2">IF(C19=0,"N/A",+D19/B19-1)</f>
        <v>9.4402022894761517E-2</v>
      </c>
    </row>
    <row r="20" spans="1:6" x14ac:dyDescent="0.35">
      <c r="A20" s="10" t="s">
        <v>24</v>
      </c>
      <c r="B20" s="20">
        <v>2106110.19</v>
      </c>
      <c r="C20" s="20">
        <v>2328362.79</v>
      </c>
      <c r="D20" s="20">
        <v>2508451.98</v>
      </c>
      <c r="F20" s="85">
        <f t="shared" si="2"/>
        <v>0.19103548898360345</v>
      </c>
    </row>
    <row r="21" spans="1:6" x14ac:dyDescent="0.35">
      <c r="A21" s="10" t="s">
        <v>26</v>
      </c>
      <c r="B21" s="20">
        <v>2673477.2000000002</v>
      </c>
      <c r="C21" s="20">
        <v>2998233.33</v>
      </c>
      <c r="D21" s="20">
        <v>3125781.5500000003</v>
      </c>
      <c r="F21" s="85">
        <f t="shared" si="2"/>
        <v>0.16918204875657805</v>
      </c>
    </row>
    <row r="22" spans="1:6" x14ac:dyDescent="0.35">
      <c r="A22" s="10" t="s">
        <v>25</v>
      </c>
      <c r="B22" s="20">
        <v>196860.91999999998</v>
      </c>
      <c r="C22" s="20">
        <v>241485.63</v>
      </c>
      <c r="D22" s="20">
        <v>246508.33000000002</v>
      </c>
      <c r="F22" s="85">
        <f t="shared" si="2"/>
        <v>0.25219535700635776</v>
      </c>
    </row>
    <row r="23" spans="1:6" x14ac:dyDescent="0.35">
      <c r="A23" s="10" t="s">
        <v>28</v>
      </c>
      <c r="B23" s="20">
        <v>1272191.0599999998</v>
      </c>
      <c r="C23" s="20">
        <v>1422648</v>
      </c>
      <c r="D23" s="20">
        <v>1619723.97</v>
      </c>
      <c r="F23" s="85">
        <f t="shared" si="2"/>
        <v>0.27317666420325271</v>
      </c>
    </row>
    <row r="24" spans="1:6" x14ac:dyDescent="0.35">
      <c r="A24" s="10" t="s">
        <v>27</v>
      </c>
      <c r="B24" s="20">
        <v>2169349.5500000003</v>
      </c>
      <c r="C24" s="20">
        <v>2044614.2799999998</v>
      </c>
      <c r="D24" s="20">
        <v>2236769.4100000006</v>
      </c>
      <c r="F24" s="85">
        <f t="shared" si="2"/>
        <v>3.1078375543489578E-2</v>
      </c>
    </row>
    <row r="25" spans="1:6" x14ac:dyDescent="0.35">
      <c r="A25" s="10" t="s">
        <v>7</v>
      </c>
      <c r="B25" s="20">
        <v>413076.6</v>
      </c>
      <c r="C25" s="20">
        <v>421338.13</v>
      </c>
      <c r="D25" s="20">
        <v>429764.89</v>
      </c>
      <c r="F25" s="85">
        <f t="shared" si="2"/>
        <v>4.0399988767216621E-2</v>
      </c>
    </row>
    <row r="26" spans="1:6" x14ac:dyDescent="0.35">
      <c r="A26" s="10" t="s">
        <v>8</v>
      </c>
      <c r="B26" s="20">
        <v>1722666.05</v>
      </c>
      <c r="C26" s="20">
        <v>1976088.33</v>
      </c>
      <c r="D26" s="20">
        <v>2015610.09</v>
      </c>
      <c r="F26" s="85">
        <f t="shared" si="2"/>
        <v>0.17005271567289548</v>
      </c>
    </row>
    <row r="27" spans="1:6" x14ac:dyDescent="0.35">
      <c r="A27" s="10" t="s">
        <v>9</v>
      </c>
      <c r="B27" s="20">
        <v>287812.09999999998</v>
      </c>
      <c r="C27" s="20">
        <v>293568.34000000003</v>
      </c>
      <c r="D27" s="20">
        <v>299439.71000000002</v>
      </c>
      <c r="F27" s="85">
        <f t="shared" si="2"/>
        <v>4.0400004030407555E-2</v>
      </c>
    </row>
    <row r="28" spans="1:6" x14ac:dyDescent="0.35">
      <c r="A28" s="10" t="s">
        <v>4</v>
      </c>
      <c r="B28" s="20"/>
      <c r="C28" s="20"/>
      <c r="D28" s="20"/>
      <c r="F28" s="85" t="str">
        <f t="shared" si="2"/>
        <v>N/A</v>
      </c>
    </row>
    <row r="29" spans="1:6" x14ac:dyDescent="0.35">
      <c r="A29" s="10" t="s">
        <v>67</v>
      </c>
      <c r="B29" s="20">
        <v>3417526</v>
      </c>
      <c r="C29" s="20">
        <v>3411122.7783081927</v>
      </c>
      <c r="D29" s="20">
        <v>3406794.5799899832</v>
      </c>
      <c r="F29" s="85">
        <f t="shared" si="2"/>
        <v>-3.1401136406912222E-3</v>
      </c>
    </row>
    <row r="30" spans="1:6" ht="16" thickBot="1" x14ac:dyDescent="0.4">
      <c r="A30" s="10" t="s">
        <v>16</v>
      </c>
      <c r="B30" s="20"/>
      <c r="C30" s="20"/>
      <c r="D30" s="20"/>
      <c r="F30" s="85" t="str">
        <f t="shared" si="2"/>
        <v>N/A</v>
      </c>
    </row>
    <row r="31" spans="1:6" s="6" customFormat="1" x14ac:dyDescent="0.35">
      <c r="A31" s="11" t="s">
        <v>6</v>
      </c>
      <c r="B31" s="60">
        <f>SUM(B18:B30)</f>
        <v>19981570.030000001</v>
      </c>
      <c r="C31" s="60">
        <f t="shared" ref="C31:D31" si="3">SUM(C18:C30)</f>
        <v>21036232.398308195</v>
      </c>
      <c r="D31" s="60">
        <f t="shared" si="3"/>
        <v>22151560.479989987</v>
      </c>
      <c r="F31" s="85">
        <f t="shared" si="2"/>
        <v>0.108599596865111</v>
      </c>
    </row>
    <row r="32" spans="1:6" x14ac:dyDescent="0.35">
      <c r="A32" s="1"/>
      <c r="B32" s="19"/>
      <c r="C32" s="19"/>
      <c r="D32" s="29"/>
      <c r="F32" s="85"/>
    </row>
    <row r="33" spans="1:6" s="6" customFormat="1" ht="16" thickBot="1" x14ac:dyDescent="0.4">
      <c r="A33" s="1" t="s">
        <v>5</v>
      </c>
      <c r="B33" s="30">
        <f>+B8+B16-B31</f>
        <v>4583509.5452630483</v>
      </c>
      <c r="C33" s="7">
        <f>+C8+C16-C31</f>
        <v>3518422.3732050471</v>
      </c>
      <c r="D33" s="30">
        <f>+D8+D16-D31</f>
        <v>1871521.6495370604</v>
      </c>
      <c r="F33" s="85">
        <f t="shared" si="2"/>
        <v>-0.59168370196343645</v>
      </c>
    </row>
    <row r="34" spans="1:6" x14ac:dyDescent="0.35">
      <c r="A34" s="15"/>
      <c r="B34" s="21"/>
      <c r="C34" s="21"/>
      <c r="D34" s="31"/>
    </row>
    <row r="35" spans="1:6" s="6" customFormat="1" ht="16" thickBot="1" x14ac:dyDescent="0.4">
      <c r="A35" s="1" t="s">
        <v>17</v>
      </c>
      <c r="B35" s="30">
        <f>+B33-B8</f>
        <v>107374.99573548231</v>
      </c>
      <c r="C35" s="30">
        <f t="shared" ref="C35:D35" si="4">+C33-C8</f>
        <v>-1065087.1720580012</v>
      </c>
      <c r="D35" s="30">
        <f t="shared" si="4"/>
        <v>-1646900.7236679867</v>
      </c>
    </row>
    <row r="36" spans="1:6" x14ac:dyDescent="0.35">
      <c r="B36" s="21"/>
      <c r="D36" s="28"/>
    </row>
    <row r="37" spans="1:6" x14ac:dyDescent="0.35">
      <c r="B37" s="21"/>
      <c r="C37" s="34"/>
      <c r="D37" s="28"/>
    </row>
    <row r="38" spans="1:6" x14ac:dyDescent="0.35">
      <c r="B38" s="21"/>
      <c r="C38" s="34"/>
      <c r="D38" s="28"/>
    </row>
    <row r="39" spans="1:6" ht="31.5" hidden="1" thickBot="1" x14ac:dyDescent="0.4">
      <c r="A39" s="2" t="s">
        <v>37</v>
      </c>
      <c r="B39" s="38" t="s">
        <v>19</v>
      </c>
      <c r="C39" s="39" t="s">
        <v>21</v>
      </c>
      <c r="D39" s="40" t="s">
        <v>20</v>
      </c>
    </row>
    <row r="40" spans="1:6" ht="12.5" hidden="1" x14ac:dyDescent="0.25">
      <c r="A40" t="s">
        <v>34</v>
      </c>
      <c r="B40" s="21" t="s">
        <v>53</v>
      </c>
      <c r="C40" s="34">
        <f>93691.87*1.65</f>
        <v>154591.58549999999</v>
      </c>
      <c r="D40" s="46">
        <f>96876.98*2</f>
        <v>193753.96</v>
      </c>
    </row>
    <row r="41" spans="1:6" ht="12.5" hidden="1" x14ac:dyDescent="0.25">
      <c r="A41" t="s">
        <v>35</v>
      </c>
      <c r="B41" s="21">
        <v>0</v>
      </c>
      <c r="C41" s="34">
        <v>0</v>
      </c>
      <c r="D41" s="46">
        <v>0</v>
      </c>
    </row>
    <row r="42" spans="1:6" ht="12.5" hidden="1" x14ac:dyDescent="0.25">
      <c r="A42" t="s">
        <v>36</v>
      </c>
      <c r="B42" s="21">
        <v>0</v>
      </c>
      <c r="C42" s="34">
        <v>0</v>
      </c>
      <c r="D42" s="46">
        <v>0</v>
      </c>
    </row>
    <row r="43" spans="1:6" ht="12.5" hidden="1" x14ac:dyDescent="0.25">
      <c r="A43" t="s">
        <v>54</v>
      </c>
      <c r="B43" s="21"/>
      <c r="C43" s="34">
        <v>100000</v>
      </c>
      <c r="D43" s="46"/>
    </row>
    <row r="44" spans="1:6" ht="12.5" hidden="1" x14ac:dyDescent="0.25">
      <c r="A44" t="s">
        <v>55</v>
      </c>
      <c r="B44" s="21"/>
      <c r="C44" s="34"/>
      <c r="D44" s="46">
        <v>100000</v>
      </c>
    </row>
    <row r="45" spans="1:6" ht="12.5" hidden="1" x14ac:dyDescent="0.25">
      <c r="A45" t="s">
        <v>56</v>
      </c>
      <c r="B45" s="21"/>
      <c r="C45" s="34">
        <v>50000</v>
      </c>
      <c r="D45" s="46"/>
    </row>
    <row r="46" spans="1:6" ht="12.5" hidden="1" x14ac:dyDescent="0.25">
      <c r="A46" t="s">
        <v>57</v>
      </c>
      <c r="B46" s="21"/>
      <c r="C46" s="34">
        <v>100000</v>
      </c>
      <c r="D46" s="46"/>
    </row>
    <row r="47" spans="1:6" ht="12.5" hidden="1" x14ac:dyDescent="0.25">
      <c r="A47" t="s">
        <v>58</v>
      </c>
      <c r="B47" s="21"/>
      <c r="C47" s="34">
        <v>58000</v>
      </c>
      <c r="D47" s="46"/>
    </row>
    <row r="48" spans="1:6" ht="12.5" hidden="1" x14ac:dyDescent="0.25">
      <c r="A48" t="s">
        <v>59</v>
      </c>
      <c r="B48" s="21"/>
      <c r="C48" s="34">
        <v>29000</v>
      </c>
      <c r="D48" s="46"/>
    </row>
    <row r="49" spans="1:4" ht="12.5" hidden="1" x14ac:dyDescent="0.25">
      <c r="B49" s="21"/>
      <c r="C49" s="34"/>
      <c r="D49" s="46"/>
    </row>
    <row r="50" spans="1:4" ht="13.5" hidden="1" thickBot="1" x14ac:dyDescent="0.35">
      <c r="A50" s="37" t="s">
        <v>31</v>
      </c>
      <c r="B50" s="33"/>
      <c r="C50" s="21"/>
      <c r="D50" s="46"/>
    </row>
    <row r="51" spans="1:4" ht="13" hidden="1" thickTop="1" x14ac:dyDescent="0.25">
      <c r="A51" t="s">
        <v>32</v>
      </c>
      <c r="B51" s="49">
        <v>53.07</v>
      </c>
      <c r="C51" s="33">
        <v>54.72</v>
      </c>
      <c r="D51" s="50">
        <v>56.72</v>
      </c>
    </row>
    <row r="52" spans="1:4" ht="12.5" hidden="1" x14ac:dyDescent="0.25">
      <c r="A52" t="s">
        <v>33</v>
      </c>
      <c r="B52" s="49">
        <v>65.14</v>
      </c>
      <c r="C52" s="33">
        <v>68.31</v>
      </c>
      <c r="D52" s="50">
        <v>71.48</v>
      </c>
    </row>
    <row r="53" spans="1:4" ht="12.5" hidden="1" x14ac:dyDescent="0.25">
      <c r="A53" t="s">
        <v>29</v>
      </c>
      <c r="B53" s="33">
        <v>43.49</v>
      </c>
      <c r="C53" s="33">
        <v>47.95</v>
      </c>
      <c r="D53" s="50">
        <v>47.95</v>
      </c>
    </row>
    <row r="54" spans="1:4" ht="12.5" hidden="1" x14ac:dyDescent="0.25">
      <c r="A54" t="s">
        <v>30</v>
      </c>
      <c r="B54" s="33">
        <v>16.047999999999998</v>
      </c>
      <c r="C54" s="33">
        <v>17</v>
      </c>
      <c r="D54" s="50">
        <v>18</v>
      </c>
    </row>
    <row r="55" spans="1:4" hidden="1" x14ac:dyDescent="0.35">
      <c r="B55" s="22"/>
    </row>
    <row r="56" spans="1:4" x14ac:dyDescent="0.35">
      <c r="D56" s="35"/>
    </row>
  </sheetData>
  <printOptions gridLines="1"/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2"/>
  <sheetViews>
    <sheetView topLeftCell="A31" workbookViewId="0">
      <selection activeCell="E13" sqref="E13"/>
    </sheetView>
  </sheetViews>
  <sheetFormatPr defaultRowHeight="15.5" x14ac:dyDescent="0.35"/>
  <cols>
    <col min="1" max="1" width="65.26953125" bestFit="1" customWidth="1"/>
    <col min="2" max="2" width="18.7265625" hidden="1" customWidth="1"/>
    <col min="3" max="3" width="15" style="16" bestFit="1" customWidth="1"/>
    <col min="4" max="4" width="16.453125" style="16" bestFit="1" customWidth="1"/>
    <col min="5" max="5" width="18.54296875" style="25" customWidth="1"/>
    <col min="6" max="6" width="0" hidden="1" customWidth="1"/>
    <col min="7" max="7" width="10.26953125" customWidth="1"/>
    <col min="8" max="10" width="0" hidden="1" customWidth="1"/>
  </cols>
  <sheetData>
    <row r="1" spans="1:7" x14ac:dyDescent="0.35">
      <c r="A1" s="1" t="s">
        <v>18</v>
      </c>
      <c r="B1" s="1"/>
      <c r="F1" s="24">
        <f ca="1">NOW()</f>
        <v>42030.650164699073</v>
      </c>
    </row>
    <row r="2" spans="1:7" x14ac:dyDescent="0.35">
      <c r="A2" s="1" t="s">
        <v>93</v>
      </c>
      <c r="B2" s="1"/>
    </row>
    <row r="3" spans="1:7" x14ac:dyDescent="0.35">
      <c r="A3" s="1"/>
      <c r="B3" s="1"/>
    </row>
    <row r="4" spans="1:7" ht="16" thickBot="1" x14ac:dyDescent="0.4">
      <c r="A4" s="5" t="s">
        <v>60</v>
      </c>
      <c r="B4" s="51"/>
    </row>
    <row r="6" spans="1:7" ht="16" thickBot="1" x14ac:dyDescent="0.4">
      <c r="A6" s="5" t="s">
        <v>22</v>
      </c>
      <c r="B6" s="5"/>
      <c r="C6" s="23"/>
      <c r="D6" s="23"/>
    </row>
    <row r="7" spans="1:7" s="3" customFormat="1" ht="31.5" thickBot="1" x14ac:dyDescent="0.4">
      <c r="A7" s="2" t="s">
        <v>1</v>
      </c>
      <c r="B7" s="17" t="s">
        <v>61</v>
      </c>
      <c r="C7" s="17" t="s">
        <v>19</v>
      </c>
      <c r="D7" s="26" t="s">
        <v>21</v>
      </c>
      <c r="E7" s="26" t="s">
        <v>20</v>
      </c>
      <c r="G7" s="82" t="s">
        <v>91</v>
      </c>
    </row>
    <row r="8" spans="1:7" s="6" customFormat="1" ht="16" thickBot="1" x14ac:dyDescent="0.4">
      <c r="A8" s="1" t="s">
        <v>0</v>
      </c>
      <c r="B8" s="18"/>
      <c r="C8" s="18">
        <f>+[2]Summary!$E$71</f>
        <v>5640907.9579990637</v>
      </c>
      <c r="D8" s="18">
        <f>+C32</f>
        <v>5941357.6978990659</v>
      </c>
      <c r="E8" s="18">
        <f>+D32</f>
        <v>5457490.0261193775</v>
      </c>
    </row>
    <row r="9" spans="1:7" x14ac:dyDescent="0.35">
      <c r="A9" s="4"/>
      <c r="B9" s="19"/>
      <c r="C9" s="19"/>
      <c r="D9" s="19"/>
    </row>
    <row r="10" spans="1:7" s="6" customFormat="1" ht="16" thickBot="1" x14ac:dyDescent="0.4">
      <c r="A10" s="5" t="s">
        <v>2</v>
      </c>
      <c r="B10" s="32"/>
      <c r="C10" s="32"/>
      <c r="D10" s="8"/>
      <c r="E10" s="27"/>
    </row>
    <row r="11" spans="1:7" s="6" customFormat="1" x14ac:dyDescent="0.35">
      <c r="A11" s="12" t="s">
        <v>11</v>
      </c>
      <c r="B11" s="20"/>
      <c r="C11" s="20">
        <f>+'Revenue Projections'!B18</f>
        <v>0</v>
      </c>
      <c r="D11" s="20">
        <f>+'Revenue Projections'!C18</f>
        <v>0</v>
      </c>
      <c r="E11" s="20">
        <f>+'Revenue Projections'!D18</f>
        <v>0</v>
      </c>
      <c r="G11" s="85" t="str">
        <f>IF(D11=0,"N/A",+E11/C11-1)</f>
        <v>N/A</v>
      </c>
    </row>
    <row r="12" spans="1:7" s="6" customFormat="1" x14ac:dyDescent="0.35">
      <c r="A12" s="12" t="s">
        <v>12</v>
      </c>
      <c r="B12" s="20"/>
      <c r="C12" s="20"/>
      <c r="D12" s="20"/>
      <c r="E12" s="20"/>
      <c r="G12" s="85" t="str">
        <f t="shared" ref="G12:G15" si="0">IF(D12=0,"N/A",+E12/C12-1)</f>
        <v>N/A</v>
      </c>
    </row>
    <row r="13" spans="1:7" s="6" customFormat="1" x14ac:dyDescent="0.35">
      <c r="A13" s="12" t="s">
        <v>10</v>
      </c>
      <c r="B13" s="20"/>
      <c r="C13" s="20">
        <f>+'Revenue Projections'!B23</f>
        <v>250952</v>
      </c>
      <c r="D13" s="20">
        <f>+'Revenue Projections'!C23</f>
        <v>250952</v>
      </c>
      <c r="E13" s="20">
        <f>+'Revenue Projections'!D23</f>
        <v>250952</v>
      </c>
      <c r="G13" s="85">
        <f t="shared" si="0"/>
        <v>0</v>
      </c>
    </row>
    <row r="14" spans="1:7" s="6" customFormat="1" ht="16" thickBot="1" x14ac:dyDescent="0.4">
      <c r="A14" s="12" t="s">
        <v>13</v>
      </c>
      <c r="B14" s="20"/>
      <c r="C14" s="20">
        <f>+'Revenue Projections'!B8+'Revenue Projections'!B13</f>
        <v>18724708</v>
      </c>
      <c r="D14" s="20">
        <f>+'Revenue Projections'!C8+'Revenue Projections'!C13</f>
        <v>19401005.263879199</v>
      </c>
      <c r="E14" s="20">
        <f>+'Revenue Projections'!D8+'Revenue Projections'!D13</f>
        <v>20096864.535113569</v>
      </c>
      <c r="G14" s="85">
        <f t="shared" si="0"/>
        <v>7.3280530468810001E-2</v>
      </c>
    </row>
    <row r="15" spans="1:7" s="6" customFormat="1" ht="16" thickBot="1" x14ac:dyDescent="0.4">
      <c r="A15" s="9" t="s">
        <v>14</v>
      </c>
      <c r="B15" s="18">
        <f>SUM(B11:B14)</f>
        <v>0</v>
      </c>
      <c r="C15" s="18">
        <f>SUM(C11:C14)</f>
        <v>18975660</v>
      </c>
      <c r="D15" s="18">
        <f>SUM(D11:D14)</f>
        <v>19651957.263879199</v>
      </c>
      <c r="E15" s="18">
        <f>SUM(E11:E14)</f>
        <v>20347816.535113569</v>
      </c>
      <c r="G15" s="85">
        <f t="shared" si="0"/>
        <v>7.2311399714875213E-2</v>
      </c>
    </row>
    <row r="16" spans="1:7" s="6" customFormat="1" x14ac:dyDescent="0.35">
      <c r="A16" s="10"/>
      <c r="B16" s="32"/>
      <c r="C16" s="32"/>
      <c r="D16" s="8"/>
      <c r="E16" s="27"/>
      <c r="G16" s="85"/>
    </row>
    <row r="17" spans="1:8" ht="16" thickBot="1" x14ac:dyDescent="0.4">
      <c r="A17" s="13" t="s">
        <v>3</v>
      </c>
      <c r="B17" s="19"/>
      <c r="C17" s="19"/>
      <c r="D17" s="19"/>
      <c r="G17" s="84"/>
    </row>
    <row r="18" spans="1:8" x14ac:dyDescent="0.35">
      <c r="A18" s="10" t="s">
        <v>23</v>
      </c>
      <c r="B18" s="20">
        <v>6008998</v>
      </c>
      <c r="C18" s="20">
        <v>5933848</v>
      </c>
      <c r="D18" s="20">
        <v>6071503</v>
      </c>
      <c r="E18" s="20">
        <v>6343591</v>
      </c>
      <c r="G18" s="85">
        <f t="shared" ref="G18:G32" si="1">IF(D18=0,"N/A",+E18/C18-1)</f>
        <v>6.9051819325334884E-2</v>
      </c>
    </row>
    <row r="19" spans="1:8" x14ac:dyDescent="0.35">
      <c r="A19" s="10" t="s">
        <v>24</v>
      </c>
      <c r="B19" s="20">
        <v>1734824</v>
      </c>
      <c r="C19" s="20">
        <v>1714824</v>
      </c>
      <c r="D19" s="20">
        <v>1795417</v>
      </c>
      <c r="E19" s="20">
        <v>1847563</v>
      </c>
      <c r="G19" s="85">
        <f t="shared" si="1"/>
        <v>7.7406777605165233E-2</v>
      </c>
    </row>
    <row r="20" spans="1:8" x14ac:dyDescent="0.35">
      <c r="A20" s="10" t="s">
        <v>26</v>
      </c>
      <c r="B20" s="20">
        <v>2421685</v>
      </c>
      <c r="C20" s="20">
        <v>2196064</v>
      </c>
      <c r="D20" s="20">
        <v>2998233.33</v>
      </c>
      <c r="E20" s="20">
        <v>3125781.5500000003</v>
      </c>
      <c r="G20" s="85">
        <f t="shared" si="1"/>
        <v>0.42335630928788981</v>
      </c>
    </row>
    <row r="21" spans="1:8" x14ac:dyDescent="0.35">
      <c r="A21" s="10" t="s">
        <v>25</v>
      </c>
      <c r="B21" s="20">
        <v>226960</v>
      </c>
      <c r="C21" s="20">
        <v>178424</v>
      </c>
      <c r="D21" s="20">
        <v>241485.63</v>
      </c>
      <c r="E21" s="20">
        <v>246508.33000000002</v>
      </c>
      <c r="G21" s="85">
        <f t="shared" si="1"/>
        <v>0.38158728646370443</v>
      </c>
    </row>
    <row r="22" spans="1:8" x14ac:dyDescent="0.35">
      <c r="A22" s="10" t="s">
        <v>28</v>
      </c>
      <c r="B22" s="20"/>
      <c r="C22" s="20">
        <v>1355300</v>
      </c>
      <c r="D22" s="20">
        <v>1417019</v>
      </c>
      <c r="E22" s="20">
        <v>1615145.97</v>
      </c>
      <c r="G22" s="85">
        <f t="shared" si="1"/>
        <v>0.19172579502693132</v>
      </c>
    </row>
    <row r="23" spans="1:8" x14ac:dyDescent="0.35">
      <c r="A23" s="10" t="s">
        <v>27</v>
      </c>
      <c r="B23" s="20">
        <v>2695951</v>
      </c>
      <c r="C23" s="20">
        <v>1964855.82</v>
      </c>
      <c r="D23" s="20">
        <v>1969433.82</v>
      </c>
      <c r="E23" s="20">
        <v>2230402</v>
      </c>
      <c r="G23" s="85">
        <f t="shared" si="1"/>
        <v>0.13514792143883603</v>
      </c>
    </row>
    <row r="24" spans="1:8" x14ac:dyDescent="0.35">
      <c r="A24" s="10" t="s">
        <v>7</v>
      </c>
      <c r="B24" s="20">
        <v>286637</v>
      </c>
      <c r="C24" s="20">
        <v>288642.27</v>
      </c>
      <c r="D24" s="20">
        <v>294415.11540000001</v>
      </c>
      <c r="E24" s="20">
        <v>300303.41770799999</v>
      </c>
      <c r="G24" s="85">
        <f t="shared" si="1"/>
        <v>4.0399999999999991E-2</v>
      </c>
      <c r="H24" s="52"/>
    </row>
    <row r="25" spans="1:8" x14ac:dyDescent="0.35">
      <c r="A25" s="10" t="s">
        <v>8</v>
      </c>
      <c r="B25" s="20">
        <v>1107582</v>
      </c>
      <c r="C25" s="20">
        <v>1126091.05</v>
      </c>
      <c r="D25" s="20">
        <v>1148612.871</v>
      </c>
      <c r="E25" s="20">
        <v>1171585.12842</v>
      </c>
      <c r="G25" s="85">
        <f t="shared" si="1"/>
        <v>4.0399999999999991E-2</v>
      </c>
    </row>
    <row r="26" spans="1:8" x14ac:dyDescent="0.35">
      <c r="A26" s="10" t="s">
        <v>9</v>
      </c>
      <c r="B26" s="20">
        <v>352661</v>
      </c>
      <c r="C26" s="20">
        <v>340460.12</v>
      </c>
      <c r="D26" s="20">
        <v>347269.3224</v>
      </c>
      <c r="E26" s="20">
        <v>354214.70884800004</v>
      </c>
      <c r="G26" s="85">
        <f t="shared" si="1"/>
        <v>4.0400000000000214E-2</v>
      </c>
    </row>
    <row r="27" spans="1:8" x14ac:dyDescent="0.35">
      <c r="A27" s="10" t="s">
        <v>4</v>
      </c>
      <c r="B27" s="20"/>
      <c r="C27" s="20">
        <v>1E-4</v>
      </c>
      <c r="D27" s="20">
        <v>200000</v>
      </c>
      <c r="E27" s="20">
        <v>200000</v>
      </c>
      <c r="G27" s="85" t="s">
        <v>92</v>
      </c>
    </row>
    <row r="28" spans="1:8" x14ac:dyDescent="0.35">
      <c r="A28" s="10" t="s">
        <v>67</v>
      </c>
      <c r="B28" s="20"/>
      <c r="C28" s="20">
        <v>3576701</v>
      </c>
      <c r="D28" s="20">
        <v>3652435.846858887</v>
      </c>
      <c r="E28" s="20">
        <v>3748115.9989114106</v>
      </c>
      <c r="G28" s="85">
        <f t="shared" si="1"/>
        <v>4.7925448314357411E-2</v>
      </c>
    </row>
    <row r="29" spans="1:8" ht="16" thickBot="1" x14ac:dyDescent="0.4">
      <c r="A29" s="10" t="s">
        <v>16</v>
      </c>
      <c r="B29" s="20">
        <f>3576701+146363</f>
        <v>3723064</v>
      </c>
      <c r="C29" s="20"/>
      <c r="D29" s="20"/>
      <c r="E29" s="20"/>
      <c r="G29" s="85" t="str">
        <f t="shared" si="1"/>
        <v>N/A</v>
      </c>
    </row>
    <row r="30" spans="1:8" s="6" customFormat="1" x14ac:dyDescent="0.35">
      <c r="A30" s="11" t="s">
        <v>6</v>
      </c>
      <c r="B30" s="36">
        <f>SUM(B17:B29)</f>
        <v>18558362</v>
      </c>
      <c r="C30" s="60">
        <f>SUM(C17:C29)</f>
        <v>18675210.2601</v>
      </c>
      <c r="D30" s="60">
        <f>SUM(D17:D29)</f>
        <v>20135824.935658887</v>
      </c>
      <c r="E30" s="60">
        <f>SUM(E17:E29)</f>
        <v>21183211.103887413</v>
      </c>
      <c r="G30" s="85">
        <f t="shared" si="1"/>
        <v>0.13429572191461814</v>
      </c>
    </row>
    <row r="31" spans="1:8" x14ac:dyDescent="0.35">
      <c r="A31" s="1"/>
      <c r="B31" s="19"/>
      <c r="C31" s="19"/>
      <c r="D31" s="19"/>
      <c r="E31" s="29"/>
      <c r="G31" s="85"/>
    </row>
    <row r="32" spans="1:8" s="6" customFormat="1" ht="16" thickBot="1" x14ac:dyDescent="0.4">
      <c r="A32" s="1" t="s">
        <v>5</v>
      </c>
      <c r="B32" s="30">
        <f>+B8+B15-B30</f>
        <v>-18558362</v>
      </c>
      <c r="C32" s="30">
        <f>+C8+C15-C30</f>
        <v>5941357.6978990659</v>
      </c>
      <c r="D32" s="7">
        <f>+D8+D15-D30</f>
        <v>5457490.0261193775</v>
      </c>
      <c r="E32" s="30">
        <f>+E8+E15-E30</f>
        <v>4622095.4573455341</v>
      </c>
      <c r="G32" s="85">
        <f t="shared" si="1"/>
        <v>-0.22204726724668311</v>
      </c>
    </row>
    <row r="33" spans="1:10" x14ac:dyDescent="0.35">
      <c r="A33" s="15"/>
      <c r="B33" s="21"/>
      <c r="C33" s="21"/>
      <c r="D33" s="21"/>
      <c r="E33" s="31"/>
      <c r="G33" s="85"/>
    </row>
    <row r="34" spans="1:10" s="6" customFormat="1" ht="16" thickBot="1" x14ac:dyDescent="0.4">
      <c r="A34" s="1" t="s">
        <v>17</v>
      </c>
      <c r="B34" s="30">
        <f>+B32-B8</f>
        <v>-18558362</v>
      </c>
      <c r="C34" s="30">
        <f>+C32-C8</f>
        <v>300449.73990000226</v>
      </c>
      <c r="D34" s="30">
        <f>+D32-D8</f>
        <v>-483867.67177968845</v>
      </c>
      <c r="E34" s="30">
        <f>+E32-E8</f>
        <v>-835394.56877384335</v>
      </c>
      <c r="H34" s="6" t="s">
        <v>41</v>
      </c>
      <c r="I34" s="6">
        <v>90</v>
      </c>
      <c r="J34" s="58">
        <f>I34/I37</f>
        <v>0.6</v>
      </c>
    </row>
    <row r="35" spans="1:10" x14ac:dyDescent="0.35">
      <c r="C35" s="21"/>
      <c r="E35" s="28"/>
      <c r="H35" t="s">
        <v>62</v>
      </c>
      <c r="I35">
        <v>20</v>
      </c>
      <c r="J35" s="58">
        <f>I35/I$37</f>
        <v>0.13333333333333333</v>
      </c>
    </row>
    <row r="36" spans="1:10" x14ac:dyDescent="0.35">
      <c r="C36" s="21"/>
      <c r="D36" s="34"/>
      <c r="E36" s="28"/>
      <c r="H36" t="s">
        <v>43</v>
      </c>
      <c r="I36">
        <v>40</v>
      </c>
      <c r="J36" s="58">
        <f>I36/I$37</f>
        <v>0.26666666666666666</v>
      </c>
    </row>
    <row r="37" spans="1:10" hidden="1" x14ac:dyDescent="0.35">
      <c r="C37" s="21"/>
      <c r="D37" s="34"/>
      <c r="E37" s="28"/>
      <c r="I37">
        <f>SUM(I34:I36)</f>
        <v>150</v>
      </c>
    </row>
    <row r="38" spans="1:10" ht="31.5" hidden="1" thickBot="1" x14ac:dyDescent="0.4">
      <c r="A38" s="2" t="s">
        <v>37</v>
      </c>
      <c r="B38" s="2"/>
      <c r="C38" s="38" t="s">
        <v>19</v>
      </c>
      <c r="D38" s="39" t="s">
        <v>21</v>
      </c>
      <c r="E38" s="40" t="s">
        <v>20</v>
      </c>
    </row>
    <row r="39" spans="1:10" ht="12.5" hidden="1" x14ac:dyDescent="0.25">
      <c r="A39" t="s">
        <v>34</v>
      </c>
      <c r="C39" s="21" t="s">
        <v>53</v>
      </c>
      <c r="D39" s="53">
        <f>93691.87*2</f>
        <v>187383.74</v>
      </c>
      <c r="E39" s="54">
        <f>96876.98*2</f>
        <v>193753.96</v>
      </c>
    </row>
    <row r="40" spans="1:10" ht="12.5" hidden="1" x14ac:dyDescent="0.25">
      <c r="A40" t="s">
        <v>63</v>
      </c>
      <c r="C40" s="21">
        <v>0</v>
      </c>
      <c r="D40" s="34">
        <v>0</v>
      </c>
      <c r="E40" s="46">
        <v>0</v>
      </c>
    </row>
    <row r="41" spans="1:10" ht="12.5" hidden="1" x14ac:dyDescent="0.25">
      <c r="A41" t="s">
        <v>64</v>
      </c>
      <c r="C41" s="21">
        <v>2619</v>
      </c>
      <c r="D41" s="21">
        <v>2619</v>
      </c>
      <c r="E41" s="21">
        <v>2619</v>
      </c>
      <c r="F41" s="21">
        <v>2619</v>
      </c>
    </row>
    <row r="42" spans="1:10" ht="12.5" hidden="1" x14ac:dyDescent="0.25">
      <c r="A42" t="s">
        <v>36</v>
      </c>
      <c r="C42" s="21">
        <v>0</v>
      </c>
      <c r="D42" s="34">
        <v>0</v>
      </c>
      <c r="E42" s="46">
        <v>0</v>
      </c>
    </row>
    <row r="43" spans="1:10" ht="12.5" hidden="1" x14ac:dyDescent="0.25">
      <c r="A43" t="s">
        <v>54</v>
      </c>
      <c r="C43" s="21"/>
      <c r="D43" s="34">
        <f>24900+15000</f>
        <v>39900</v>
      </c>
      <c r="E43" s="46"/>
    </row>
    <row r="44" spans="1:10" ht="12.5" hidden="1" x14ac:dyDescent="0.25">
      <c r="A44" t="s">
        <v>58</v>
      </c>
      <c r="C44" s="21"/>
      <c r="D44" s="53">
        <v>42000</v>
      </c>
      <c r="E44" s="46"/>
    </row>
    <row r="45" spans="1:10" ht="12.5" hidden="1" x14ac:dyDescent="0.25">
      <c r="C45" s="21"/>
      <c r="D45" s="34"/>
      <c r="E45" s="46"/>
    </row>
    <row r="46" spans="1:10" ht="13.5" hidden="1" thickBot="1" x14ac:dyDescent="0.35">
      <c r="A46" s="37" t="s">
        <v>31</v>
      </c>
      <c r="B46" s="55"/>
      <c r="C46" s="33"/>
      <c r="D46" s="21"/>
      <c r="E46" s="46"/>
    </row>
    <row r="47" spans="1:10" ht="13" hidden="1" thickTop="1" x14ac:dyDescent="0.25">
      <c r="A47" t="s">
        <v>65</v>
      </c>
      <c r="C47" s="56">
        <f>47.64+2.95+1</f>
        <v>51.59</v>
      </c>
      <c r="D47" s="56">
        <f>47.64+2.95+1+2</f>
        <v>53.59</v>
      </c>
      <c r="E47" s="56">
        <f>47.64+2.95+1+2</f>
        <v>53.59</v>
      </c>
      <c r="F47" s="56">
        <f t="shared" ref="F47" si="2">47.64+2.95+1</f>
        <v>51.59</v>
      </c>
    </row>
    <row r="48" spans="1:10" ht="12.5" hidden="1" x14ac:dyDescent="0.25">
      <c r="A48" t="s">
        <v>33</v>
      </c>
      <c r="C48" s="56">
        <v>57.74</v>
      </c>
      <c r="D48" s="56">
        <v>57.74</v>
      </c>
      <c r="E48" s="56">
        <v>57.74</v>
      </c>
      <c r="F48" s="56">
        <v>60.74</v>
      </c>
    </row>
    <row r="49" spans="1:6" ht="12.5" hidden="1" x14ac:dyDescent="0.25">
      <c r="A49" t="s">
        <v>29</v>
      </c>
      <c r="C49" s="57">
        <f>35.85+1.05+2.82+0.72</f>
        <v>40.44</v>
      </c>
      <c r="D49" s="57">
        <f>35.85+1.05+2.82+0.72+0.75</f>
        <v>41.19</v>
      </c>
      <c r="E49" s="57">
        <f>35.85+1.05+2.82+0.72+0.75</f>
        <v>41.19</v>
      </c>
      <c r="F49" s="57">
        <f t="shared" ref="F49" si="3">35.85+1.05+2.82+0.72</f>
        <v>40.44</v>
      </c>
    </row>
    <row r="50" spans="1:6" ht="12.5" hidden="1" x14ac:dyDescent="0.25">
      <c r="A50" t="s">
        <v>30</v>
      </c>
      <c r="C50" s="57">
        <f>4.38+1+6.5</f>
        <v>11.879999999999999</v>
      </c>
      <c r="D50" s="57">
        <f t="shared" ref="D50:F50" si="4">4.38+1+6.5</f>
        <v>11.879999999999999</v>
      </c>
      <c r="E50" s="57">
        <f t="shared" si="4"/>
        <v>11.879999999999999</v>
      </c>
      <c r="F50" s="57">
        <f t="shared" si="4"/>
        <v>11.879999999999999</v>
      </c>
    </row>
    <row r="51" spans="1:6" hidden="1" x14ac:dyDescent="0.35">
      <c r="C51" s="22"/>
    </row>
    <row r="52" spans="1:6" hidden="1" x14ac:dyDescent="0.35">
      <c r="E52" s="35"/>
    </row>
  </sheetData>
  <printOptions gridLines="1"/>
  <pageMargins left="0.7" right="0.7" top="0.75" bottom="0.75" header="0.3" footer="0.3"/>
  <pageSetup scale="9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53"/>
  <sheetViews>
    <sheetView topLeftCell="A28" workbookViewId="0">
      <selection activeCell="B32" sqref="B32"/>
    </sheetView>
  </sheetViews>
  <sheetFormatPr defaultRowHeight="15.5" x14ac:dyDescent="0.35"/>
  <cols>
    <col min="1" max="1" width="65.26953125" bestFit="1" customWidth="1"/>
    <col min="2" max="2" width="15.1796875" style="16" bestFit="1" customWidth="1"/>
    <col min="3" max="3" width="16.453125" style="16" bestFit="1" customWidth="1"/>
    <col min="4" max="4" width="18.54296875" style="25" customWidth="1"/>
    <col min="5" max="5" width="0" hidden="1" customWidth="1"/>
    <col min="6" max="6" width="10.1796875" customWidth="1"/>
  </cols>
  <sheetData>
    <row r="1" spans="1:6" x14ac:dyDescent="0.35">
      <c r="A1" s="1" t="s">
        <v>18</v>
      </c>
      <c r="E1" s="24">
        <f ca="1">NOW()</f>
        <v>42030.650164699073</v>
      </c>
    </row>
    <row r="2" spans="1:6" x14ac:dyDescent="0.35">
      <c r="A2" s="1" t="s">
        <v>93</v>
      </c>
    </row>
    <row r="3" spans="1:6" x14ac:dyDescent="0.35">
      <c r="A3" s="1"/>
    </row>
    <row r="4" spans="1:6" ht="16" thickBot="1" x14ac:dyDescent="0.4">
      <c r="A4" s="5" t="s">
        <v>66</v>
      </c>
    </row>
    <row r="6" spans="1:6" ht="16" thickBot="1" x14ac:dyDescent="0.4">
      <c r="A6" s="5" t="s">
        <v>22</v>
      </c>
      <c r="B6" s="23"/>
      <c r="C6" s="23"/>
    </row>
    <row r="7" spans="1:6" s="3" customFormat="1" ht="31.5" thickBot="1" x14ac:dyDescent="0.4">
      <c r="A7" s="2" t="s">
        <v>1</v>
      </c>
      <c r="B7" s="17" t="s">
        <v>19</v>
      </c>
      <c r="C7" s="26" t="s">
        <v>21</v>
      </c>
      <c r="D7" s="26" t="s">
        <v>20</v>
      </c>
      <c r="F7" s="82" t="s">
        <v>91</v>
      </c>
    </row>
    <row r="8" spans="1:6" s="6" customFormat="1" ht="16" thickBot="1" x14ac:dyDescent="0.4">
      <c r="A8" s="1" t="s">
        <v>0</v>
      </c>
      <c r="B8" s="18">
        <f>+[2]Summary!$F$71</f>
        <v>0.43637631833553314</v>
      </c>
      <c r="C8" s="18">
        <v>0.43637631833553314</v>
      </c>
      <c r="D8" s="18">
        <v>0.43637631833553314</v>
      </c>
      <c r="E8" s="18">
        <f>+[2]Summary!$F$71</f>
        <v>0.43637631833553314</v>
      </c>
    </row>
    <row r="9" spans="1:6" x14ac:dyDescent="0.35">
      <c r="A9" s="4"/>
      <c r="B9" s="19"/>
      <c r="C9" s="19"/>
    </row>
    <row r="10" spans="1:6" s="6" customFormat="1" ht="16" thickBot="1" x14ac:dyDescent="0.4">
      <c r="A10" s="5" t="s">
        <v>2</v>
      </c>
      <c r="B10" s="32"/>
      <c r="C10" s="8"/>
      <c r="D10" s="27"/>
    </row>
    <row r="11" spans="1:6" s="6" customFormat="1" x14ac:dyDescent="0.35">
      <c r="A11" s="12" t="s">
        <v>11</v>
      </c>
      <c r="B11" s="20"/>
      <c r="C11" s="20"/>
      <c r="D11" s="20"/>
      <c r="F11" s="85" t="str">
        <f>IF(C11=0,"N/A",+D11/B11-1)</f>
        <v>N/A</v>
      </c>
    </row>
    <row r="12" spans="1:6" s="6" customFormat="1" x14ac:dyDescent="0.35">
      <c r="A12" s="12" t="s">
        <v>12</v>
      </c>
      <c r="B12" s="20"/>
      <c r="C12" s="20"/>
      <c r="D12" s="20"/>
      <c r="F12" s="85" t="str">
        <f t="shared" ref="F12:F16" si="0">IF(C12=0,"N/A",+D12/B12-1)</f>
        <v>N/A</v>
      </c>
    </row>
    <row r="13" spans="1:6" s="6" customFormat="1" x14ac:dyDescent="0.35">
      <c r="A13" s="12" t="s">
        <v>10</v>
      </c>
      <c r="B13" s="20"/>
      <c r="C13" s="20"/>
      <c r="D13" s="20"/>
      <c r="F13" s="85" t="str">
        <f t="shared" si="0"/>
        <v>N/A</v>
      </c>
    </row>
    <row r="14" spans="1:6" s="6" customFormat="1" x14ac:dyDescent="0.35">
      <c r="A14" s="12" t="s">
        <v>15</v>
      </c>
      <c r="F14" s="85" t="str">
        <f t="shared" si="0"/>
        <v>N/A</v>
      </c>
    </row>
    <row r="15" spans="1:6" s="6" customFormat="1" ht="16" thickBot="1" x14ac:dyDescent="0.4">
      <c r="A15" s="10" t="s">
        <v>105</v>
      </c>
      <c r="B15" s="20">
        <v>21702204</v>
      </c>
      <c r="C15" s="20">
        <v>22181685</v>
      </c>
      <c r="D15" s="20">
        <v>22762757</v>
      </c>
      <c r="E15"/>
      <c r="F15" s="85">
        <f>IF(C15=0,"N/A",+D15/B15-1)</f>
        <v>4.8868446725503167E-2</v>
      </c>
    </row>
    <row r="16" spans="1:6" s="6" customFormat="1" ht="16" thickBot="1" x14ac:dyDescent="0.4">
      <c r="A16" s="9" t="s">
        <v>14</v>
      </c>
      <c r="B16" s="18">
        <f>SUM(B11:B15)</f>
        <v>21702204</v>
      </c>
      <c r="C16" s="18">
        <f>SUM(C11:C15)</f>
        <v>22181685</v>
      </c>
      <c r="D16" s="18">
        <f>SUM(D11:D15)</f>
        <v>22762757</v>
      </c>
      <c r="F16" s="85">
        <f t="shared" si="0"/>
        <v>4.8868446725503167E-2</v>
      </c>
    </row>
    <row r="17" spans="1:6" s="6" customFormat="1" x14ac:dyDescent="0.35">
      <c r="A17" s="10"/>
      <c r="B17" s="32"/>
      <c r="C17" s="8"/>
      <c r="D17" s="27"/>
      <c r="F17" s="84"/>
    </row>
    <row r="18" spans="1:6" ht="16" thickBot="1" x14ac:dyDescent="0.4">
      <c r="A18" s="13" t="s">
        <v>3</v>
      </c>
      <c r="B18" s="19"/>
      <c r="C18" s="19"/>
      <c r="F18" s="85"/>
    </row>
    <row r="19" spans="1:6" x14ac:dyDescent="0.35">
      <c r="A19" s="10" t="s">
        <v>23</v>
      </c>
      <c r="B19" s="20"/>
      <c r="C19" s="20"/>
      <c r="D19" s="20"/>
      <c r="F19" s="85" t="str">
        <f t="shared" ref="F19:F32" si="1">IF(C19=0,"N/A",+D19/B19-1)</f>
        <v>N/A</v>
      </c>
    </row>
    <row r="20" spans="1:6" x14ac:dyDescent="0.35">
      <c r="A20" s="10" t="s">
        <v>24</v>
      </c>
      <c r="B20" s="20">
        <v>653961</v>
      </c>
      <c r="C20" s="20">
        <f>+B20*1.02</f>
        <v>667040.22</v>
      </c>
      <c r="D20" s="20">
        <f>+C20*1.02</f>
        <v>680381.02439999999</v>
      </c>
      <c r="F20" s="85">
        <f t="shared" si="1"/>
        <v>4.0399999999999991E-2</v>
      </c>
    </row>
    <row r="21" spans="1:6" x14ac:dyDescent="0.35">
      <c r="A21" s="10" t="s">
        <v>26</v>
      </c>
      <c r="B21" s="20">
        <v>6691661</v>
      </c>
      <c r="C21" s="20">
        <f>+B21*1.02</f>
        <v>6825494.2199999997</v>
      </c>
      <c r="D21" s="20">
        <f>+C21*1.02</f>
        <v>6962004.1043999996</v>
      </c>
      <c r="F21" s="85">
        <f t="shared" si="1"/>
        <v>4.0399999999999991E-2</v>
      </c>
    </row>
    <row r="22" spans="1:6" x14ac:dyDescent="0.35">
      <c r="A22" s="10" t="s">
        <v>25</v>
      </c>
      <c r="B22" s="20"/>
      <c r="C22" s="20"/>
      <c r="D22" s="20"/>
      <c r="F22" s="85" t="str">
        <f t="shared" si="1"/>
        <v>N/A</v>
      </c>
    </row>
    <row r="23" spans="1:6" x14ac:dyDescent="0.35">
      <c r="A23" s="10" t="s">
        <v>28</v>
      </c>
      <c r="B23" s="20"/>
      <c r="C23" s="20"/>
      <c r="D23" s="20"/>
      <c r="F23" s="85" t="str">
        <f t="shared" si="1"/>
        <v>N/A</v>
      </c>
    </row>
    <row r="24" spans="1:6" x14ac:dyDescent="0.35">
      <c r="A24" s="10" t="s">
        <v>27</v>
      </c>
      <c r="B24" s="20">
        <v>2687400</v>
      </c>
      <c r="C24" s="20">
        <f>((+B24-B42-B43)*1.02)+(C42+C43-B42-B43)+B42+B43</f>
        <v>2786583.8043999998</v>
      </c>
      <c r="D24" s="20">
        <f>((+C24-C42-C43)*1.02)+(D42+D43-C42-C43)+C42+C43</f>
        <v>2979753.6417897595</v>
      </c>
      <c r="F24" s="85">
        <f t="shared" si="1"/>
        <v>0.1087867983142663</v>
      </c>
    </row>
    <row r="25" spans="1:6" x14ac:dyDescent="0.35">
      <c r="A25" s="10" t="s">
        <v>7</v>
      </c>
      <c r="B25" s="20">
        <v>196715</v>
      </c>
      <c r="C25" s="20">
        <f>+B25*1.02</f>
        <v>200649.30000000002</v>
      </c>
      <c r="D25" s="20">
        <f>+C25*1.02</f>
        <v>204662.28600000002</v>
      </c>
      <c r="F25" s="85">
        <f t="shared" si="1"/>
        <v>4.0400000000000214E-2</v>
      </c>
    </row>
    <row r="26" spans="1:6" x14ac:dyDescent="0.35">
      <c r="A26" s="10" t="s">
        <v>8</v>
      </c>
      <c r="B26" s="20">
        <v>5868978</v>
      </c>
      <c r="C26" s="20">
        <f t="shared" ref="C26:D29" si="2">+B26*1.02</f>
        <v>5986357.5600000005</v>
      </c>
      <c r="D26" s="20">
        <f t="shared" si="2"/>
        <v>6106084.7112000007</v>
      </c>
      <c r="F26" s="85">
        <f t="shared" si="1"/>
        <v>4.0400000000000214E-2</v>
      </c>
    </row>
    <row r="27" spans="1:6" x14ac:dyDescent="0.35">
      <c r="A27" s="10" t="s">
        <v>9</v>
      </c>
      <c r="B27" s="20">
        <v>360600</v>
      </c>
      <c r="C27" s="20">
        <f t="shared" si="2"/>
        <v>367812</v>
      </c>
      <c r="D27" s="20">
        <f t="shared" si="2"/>
        <v>375168.24</v>
      </c>
      <c r="F27" s="85" t="s">
        <v>92</v>
      </c>
    </row>
    <row r="28" spans="1:6" x14ac:dyDescent="0.35">
      <c r="A28" s="10" t="s">
        <v>4</v>
      </c>
      <c r="B28" s="20">
        <v>5727925</v>
      </c>
      <c r="C28" s="20">
        <f>(+B28-740035)*1.02</f>
        <v>5087647.8</v>
      </c>
      <c r="D28" s="20">
        <f t="shared" si="2"/>
        <v>5189400.7560000001</v>
      </c>
      <c r="F28" s="85">
        <f t="shared" si="1"/>
        <v>-9.4017335073346753E-2</v>
      </c>
    </row>
    <row r="29" spans="1:6" ht="16" thickBot="1" x14ac:dyDescent="0.4">
      <c r="A29" s="10" t="s">
        <v>16</v>
      </c>
      <c r="B29" s="20">
        <v>372734</v>
      </c>
      <c r="C29" s="20">
        <f>(+B29-117734)*1.02</f>
        <v>260100</v>
      </c>
      <c r="D29" s="20">
        <f t="shared" si="2"/>
        <v>265302</v>
      </c>
      <c r="F29" s="85">
        <f t="shared" si="1"/>
        <v>-0.28822699297622434</v>
      </c>
    </row>
    <row r="30" spans="1:6" s="6" customFormat="1" x14ac:dyDescent="0.35">
      <c r="A30" s="11" t="s">
        <v>6</v>
      </c>
      <c r="B30" s="60">
        <f>SUM(B18:B29)</f>
        <v>22559974</v>
      </c>
      <c r="C30" s="60">
        <f>SUM(C18:C29)</f>
        <v>22181684.904400002</v>
      </c>
      <c r="D30" s="60">
        <f>SUM(D18:D29)</f>
        <v>22762756.763789758</v>
      </c>
      <c r="F30" s="85">
        <f t="shared" si="1"/>
        <v>8.9886080449277372E-3</v>
      </c>
    </row>
    <row r="31" spans="1:6" x14ac:dyDescent="0.35">
      <c r="A31" s="1"/>
      <c r="B31" s="19"/>
      <c r="C31" s="19"/>
      <c r="D31" s="29"/>
      <c r="F31" s="85"/>
    </row>
    <row r="32" spans="1:6" s="6" customFormat="1" ht="16" thickBot="1" x14ac:dyDescent="0.4">
      <c r="A32" s="1" t="s">
        <v>5</v>
      </c>
      <c r="B32" s="30">
        <f>+B8+B16-B30</f>
        <v>-857769.56362368166</v>
      </c>
      <c r="C32" s="7">
        <f>+C8+C16-C30</f>
        <v>0.53197631612420082</v>
      </c>
      <c r="D32" s="30">
        <f>+D8+D16-D30</f>
        <v>0.67258656024932861</v>
      </c>
      <c r="F32" s="85">
        <f t="shared" si="1"/>
        <v>-1.0000007841110117</v>
      </c>
    </row>
    <row r="33" spans="1:4" x14ac:dyDescent="0.35">
      <c r="A33" s="15"/>
      <c r="B33" s="21"/>
      <c r="C33" s="21"/>
      <c r="D33" s="31"/>
    </row>
    <row r="34" spans="1:4" s="6" customFormat="1" ht="16" thickBot="1" x14ac:dyDescent="0.4">
      <c r="A34" s="1" t="s">
        <v>17</v>
      </c>
      <c r="B34" s="30">
        <f>+B32-B8</f>
        <v>-857770</v>
      </c>
      <c r="C34" s="30">
        <f>+C32-C8</f>
        <v>9.5599997788667679E-2</v>
      </c>
      <c r="D34" s="30">
        <f>+D32-D8</f>
        <v>0.23621024191379547</v>
      </c>
    </row>
    <row r="35" spans="1:4" x14ac:dyDescent="0.35">
      <c r="B35" s="21"/>
      <c r="D35" s="28"/>
    </row>
    <row r="36" spans="1:4" hidden="1" x14ac:dyDescent="0.35">
      <c r="B36" s="21"/>
      <c r="C36" s="34"/>
      <c r="D36" s="28"/>
    </row>
    <row r="37" spans="1:4" hidden="1" x14ac:dyDescent="0.35">
      <c r="B37" s="21"/>
      <c r="C37" s="34"/>
      <c r="D37" s="28"/>
    </row>
    <row r="38" spans="1:4" ht="31.5" hidden="1" thickBot="1" x14ac:dyDescent="0.4">
      <c r="A38" s="2" t="s">
        <v>37</v>
      </c>
      <c r="B38" s="38" t="s">
        <v>19</v>
      </c>
      <c r="C38" s="39" t="s">
        <v>21</v>
      </c>
      <c r="D38" s="40" t="s">
        <v>20</v>
      </c>
    </row>
    <row r="39" spans="1:4" hidden="1" x14ac:dyDescent="0.35">
      <c r="A39" t="s">
        <v>34</v>
      </c>
      <c r="B39" s="21"/>
      <c r="C39" s="34"/>
      <c r="D39" s="28"/>
    </row>
    <row r="40" spans="1:4" hidden="1" x14ac:dyDescent="0.35">
      <c r="A40" t="s">
        <v>35</v>
      </c>
      <c r="B40" s="21"/>
      <c r="C40" s="34"/>
      <c r="D40" s="28"/>
    </row>
    <row r="41" spans="1:4" hidden="1" x14ac:dyDescent="0.35">
      <c r="A41" t="s">
        <v>36</v>
      </c>
      <c r="B41" s="21"/>
      <c r="C41" s="34"/>
      <c r="D41" s="28"/>
    </row>
    <row r="42" spans="1:4" ht="12.5" hidden="1" x14ac:dyDescent="0.25">
      <c r="A42" t="s">
        <v>38</v>
      </c>
      <c r="B42" s="21">
        <v>54428</v>
      </c>
      <c r="C42" s="34">
        <f>+B42*1.2083</f>
        <v>65765.352400000003</v>
      </c>
      <c r="D42" s="46">
        <f>+C42*1.1724</f>
        <v>77103.299153760017</v>
      </c>
    </row>
    <row r="43" spans="1:4" ht="12.5" hidden="1" x14ac:dyDescent="0.25">
      <c r="A43" t="s">
        <v>39</v>
      </c>
      <c r="B43" s="21">
        <v>698155</v>
      </c>
      <c r="C43" s="34">
        <f>+B43*1.0704</f>
        <v>747305.11199999996</v>
      </c>
      <c r="D43" s="46">
        <f>+C43*1.1905</f>
        <v>889666.73583599983</v>
      </c>
    </row>
    <row r="44" spans="1:4" hidden="1" x14ac:dyDescent="0.35">
      <c r="A44" t="s">
        <v>40</v>
      </c>
      <c r="B44" s="21"/>
      <c r="C44" s="34"/>
      <c r="D44" s="28"/>
    </row>
    <row r="45" spans="1:4" hidden="1" x14ac:dyDescent="0.35">
      <c r="B45" s="21"/>
      <c r="C45" s="34"/>
      <c r="D45" s="28"/>
    </row>
    <row r="46" spans="1:4" hidden="1" x14ac:dyDescent="0.35">
      <c r="B46" s="21"/>
      <c r="C46" s="34"/>
      <c r="D46" s="28"/>
    </row>
    <row r="47" spans="1:4" ht="16" hidden="1" thickBot="1" x14ac:dyDescent="0.4">
      <c r="A47" s="37" t="s">
        <v>31</v>
      </c>
      <c r="B47" s="33"/>
      <c r="C47" s="21"/>
      <c r="D47" s="28"/>
    </row>
    <row r="48" spans="1:4" ht="16" hidden="1" thickTop="1" x14ac:dyDescent="0.35">
      <c r="A48" t="s">
        <v>32</v>
      </c>
      <c r="B48" s="21"/>
      <c r="D48" s="28"/>
    </row>
    <row r="49" spans="1:4" hidden="1" x14ac:dyDescent="0.35">
      <c r="A49" t="s">
        <v>33</v>
      </c>
      <c r="B49" s="21"/>
      <c r="D49" s="28"/>
    </row>
    <row r="50" spans="1:4" hidden="1" x14ac:dyDescent="0.35">
      <c r="A50" t="s">
        <v>29</v>
      </c>
      <c r="D50" s="28"/>
    </row>
    <row r="51" spans="1:4" hidden="1" x14ac:dyDescent="0.35">
      <c r="A51" t="s">
        <v>30</v>
      </c>
      <c r="D51" s="35"/>
    </row>
    <row r="52" spans="1:4" hidden="1" x14ac:dyDescent="0.35">
      <c r="B52" s="22"/>
    </row>
    <row r="53" spans="1:4" x14ac:dyDescent="0.35">
      <c r="D53" s="35"/>
    </row>
  </sheetData>
  <printOptions gridLines="1"/>
  <pageMargins left="0.7" right="0.7" top="0.75" bottom="0.75" header="0.3" footer="0.3"/>
  <pageSetup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0"/>
  <sheetViews>
    <sheetView topLeftCell="A7" workbookViewId="0">
      <selection activeCell="E13" sqref="E13"/>
    </sheetView>
  </sheetViews>
  <sheetFormatPr defaultRowHeight="12.5" x14ac:dyDescent="0.25"/>
  <cols>
    <col min="1" max="1" width="15.54296875" customWidth="1"/>
    <col min="2" max="4" width="12.1796875" customWidth="1"/>
    <col min="5" max="5" width="12.26953125" customWidth="1"/>
  </cols>
  <sheetData>
    <row r="1" spans="1:4" ht="15.5" x14ac:dyDescent="0.35">
      <c r="A1" s="1" t="s">
        <v>18</v>
      </c>
    </row>
    <row r="2" spans="1:4" ht="15.5" x14ac:dyDescent="0.35">
      <c r="A2" s="1" t="s">
        <v>73</v>
      </c>
    </row>
    <row r="3" spans="1:4" ht="15.5" x14ac:dyDescent="0.35">
      <c r="A3" s="1"/>
    </row>
    <row r="4" spans="1:4" ht="16" thickBot="1" x14ac:dyDescent="0.4">
      <c r="A4" s="1"/>
      <c r="B4" s="41"/>
    </row>
    <row r="5" spans="1:4" ht="31.5" thickBot="1" x14ac:dyDescent="0.4">
      <c r="A5" s="68" t="s">
        <v>1</v>
      </c>
      <c r="B5" s="17" t="s">
        <v>19</v>
      </c>
      <c r="C5" s="26" t="s">
        <v>21</v>
      </c>
      <c r="D5" s="26" t="s">
        <v>20</v>
      </c>
    </row>
    <row r="6" spans="1:4" ht="15.5" x14ac:dyDescent="0.35">
      <c r="A6" s="1"/>
      <c r="B6" s="66"/>
      <c r="C6" s="66"/>
      <c r="D6" s="66"/>
    </row>
    <row r="7" spans="1:4" ht="13.5" thickBot="1" x14ac:dyDescent="0.35">
      <c r="A7" s="64" t="s">
        <v>98</v>
      </c>
      <c r="B7" s="67"/>
      <c r="C7" s="67"/>
      <c r="D7" s="67"/>
    </row>
    <row r="8" spans="1:4" ht="13" x14ac:dyDescent="0.3">
      <c r="A8" s="6" t="s">
        <v>70</v>
      </c>
      <c r="B8" s="65">
        <v>8.5000000000000006E-3</v>
      </c>
      <c r="C8" s="65">
        <v>1.5800000000000002E-2</v>
      </c>
      <c r="D8" s="65">
        <v>1.5800000000000002E-2</v>
      </c>
    </row>
    <row r="9" spans="1:4" ht="13" x14ac:dyDescent="0.3">
      <c r="A9" s="6" t="s">
        <v>71</v>
      </c>
      <c r="B9" s="65">
        <v>2.75E-2</v>
      </c>
      <c r="C9" s="65">
        <v>0.02</v>
      </c>
      <c r="D9" s="65">
        <v>0.02</v>
      </c>
    </row>
    <row r="10" spans="1:4" ht="13" x14ac:dyDescent="0.3">
      <c r="A10" s="6" t="s">
        <v>72</v>
      </c>
      <c r="B10" s="65">
        <v>0</v>
      </c>
      <c r="C10" s="65">
        <v>0</v>
      </c>
      <c r="D10" s="65">
        <v>0</v>
      </c>
    </row>
    <row r="13" spans="1:4" ht="13.5" thickBot="1" x14ac:dyDescent="0.35">
      <c r="A13" s="37" t="s">
        <v>99</v>
      </c>
      <c r="B13" s="67"/>
      <c r="C13" s="67"/>
      <c r="D13" s="67"/>
    </row>
    <row r="14" spans="1:4" ht="13.5" thickTop="1" x14ac:dyDescent="0.3">
      <c r="A14" s="69" t="s">
        <v>74</v>
      </c>
      <c r="B14" s="92" t="s">
        <v>100</v>
      </c>
      <c r="C14" s="70">
        <v>0.02</v>
      </c>
      <c r="D14" s="70">
        <v>0.02</v>
      </c>
    </row>
    <row r="15" spans="1:4" ht="13" x14ac:dyDescent="0.3">
      <c r="A15" s="69" t="s">
        <v>76</v>
      </c>
      <c r="B15" s="92" t="s">
        <v>100</v>
      </c>
      <c r="C15" s="65">
        <v>0.20833333333333326</v>
      </c>
      <c r="D15" s="65">
        <v>0.17241379310344818</v>
      </c>
    </row>
    <row r="16" spans="1:4" ht="13" x14ac:dyDescent="0.3">
      <c r="A16" s="69" t="s">
        <v>77</v>
      </c>
      <c r="B16" s="92" t="s">
        <v>100</v>
      </c>
      <c r="C16" s="65">
        <v>7.0427321383060182E-2</v>
      </c>
      <c r="D16" s="65">
        <v>0.19047619047619047</v>
      </c>
    </row>
    <row r="17" spans="1:5" ht="13" x14ac:dyDescent="0.3">
      <c r="A17" s="69" t="s">
        <v>78</v>
      </c>
      <c r="B17" s="92" t="s">
        <v>100</v>
      </c>
      <c r="C17" s="65">
        <v>0.02</v>
      </c>
      <c r="D17" s="65">
        <v>0.02</v>
      </c>
    </row>
    <row r="18" spans="1:5" ht="13" x14ac:dyDescent="0.3">
      <c r="A18" s="69" t="s">
        <v>75</v>
      </c>
      <c r="B18" s="92" t="s">
        <v>100</v>
      </c>
      <c r="C18" s="70">
        <v>0.02</v>
      </c>
      <c r="D18" s="70">
        <v>0.02</v>
      </c>
    </row>
    <row r="21" spans="1:5" ht="15" thickBot="1" x14ac:dyDescent="0.4">
      <c r="A21" s="87" t="s">
        <v>103</v>
      </c>
      <c r="B21" s="91"/>
      <c r="C21" s="91"/>
      <c r="D21" s="91"/>
    </row>
    <row r="22" spans="1:5" ht="14.5" x14ac:dyDescent="0.35">
      <c r="A22" s="86" t="s">
        <v>94</v>
      </c>
      <c r="B22" s="90">
        <v>233</v>
      </c>
      <c r="C22" s="86">
        <v>263</v>
      </c>
      <c r="D22" s="86">
        <v>271</v>
      </c>
    </row>
    <row r="23" spans="1:5" ht="14.5" x14ac:dyDescent="0.35">
      <c r="A23" s="86" t="s">
        <v>95</v>
      </c>
      <c r="B23" s="90">
        <v>51</v>
      </c>
      <c r="C23" s="86">
        <v>58</v>
      </c>
      <c r="D23" s="86">
        <v>60</v>
      </c>
    </row>
    <row r="24" spans="1:5" ht="15" thickBot="1" x14ac:dyDescent="0.4">
      <c r="A24" s="86" t="s">
        <v>96</v>
      </c>
      <c r="B24" s="90">
        <v>54</v>
      </c>
      <c r="C24" s="86">
        <v>60</v>
      </c>
      <c r="D24" s="86">
        <v>62</v>
      </c>
    </row>
    <row r="25" spans="1:5" ht="15" thickBot="1" x14ac:dyDescent="0.4">
      <c r="A25" s="88" t="s">
        <v>97</v>
      </c>
      <c r="B25" s="89">
        <v>338</v>
      </c>
      <c r="C25" s="89">
        <v>381</v>
      </c>
      <c r="D25" s="89">
        <v>393</v>
      </c>
    </row>
    <row r="26" spans="1:5" ht="14.5" x14ac:dyDescent="0.35">
      <c r="A26" s="88" t="s">
        <v>81</v>
      </c>
      <c r="B26" s="86"/>
      <c r="C26" s="86">
        <v>43</v>
      </c>
      <c r="D26" s="86">
        <v>12</v>
      </c>
    </row>
    <row r="29" spans="1:5" ht="12" customHeight="1" x14ac:dyDescent="0.3">
      <c r="A29" s="6" t="s">
        <v>101</v>
      </c>
    </row>
    <row r="30" spans="1:5" ht="105" customHeight="1" x14ac:dyDescent="0.25">
      <c r="A30" s="98" t="s">
        <v>102</v>
      </c>
      <c r="B30" s="99"/>
      <c r="C30" s="99"/>
      <c r="D30" s="99"/>
      <c r="E30" s="99"/>
    </row>
  </sheetData>
  <mergeCells count="1">
    <mergeCell ref="A30:E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6" workbookViewId="0">
      <selection activeCell="B15" sqref="B15:D15"/>
    </sheetView>
  </sheetViews>
  <sheetFormatPr defaultRowHeight="12.5" x14ac:dyDescent="0.25"/>
  <cols>
    <col min="1" max="1" width="29.26953125" bestFit="1" customWidth="1"/>
    <col min="2" max="4" width="12.54296875" style="43" customWidth="1"/>
  </cols>
  <sheetData>
    <row r="1" spans="1:5" ht="13" x14ac:dyDescent="0.3">
      <c r="A1" s="6" t="s">
        <v>18</v>
      </c>
    </row>
    <row r="3" spans="1:5" ht="13" thickBot="1" x14ac:dyDescent="0.3"/>
    <row r="4" spans="1:5" s="42" customFormat="1" ht="39.5" thickBot="1" x14ac:dyDescent="0.35">
      <c r="A4" s="42" t="s">
        <v>45</v>
      </c>
      <c r="B4" s="44" t="s">
        <v>44</v>
      </c>
      <c r="C4" s="59" t="s">
        <v>21</v>
      </c>
      <c r="D4" s="59" t="s">
        <v>20</v>
      </c>
    </row>
    <row r="5" spans="1:5" ht="13" thickBot="1" x14ac:dyDescent="0.3">
      <c r="A5" s="41" t="s">
        <v>46</v>
      </c>
    </row>
    <row r="6" spans="1:5" ht="13" x14ac:dyDescent="0.3">
      <c r="A6" t="s">
        <v>41</v>
      </c>
      <c r="B6" s="43">
        <v>6237679</v>
      </c>
      <c r="C6" s="43">
        <f>+B6*1.02</f>
        <v>6362432.5800000001</v>
      </c>
      <c r="D6" s="43">
        <f>+C6*1.02</f>
        <v>6489681.2316000005</v>
      </c>
      <c r="E6" s="85">
        <f>IF(B6=0,"N/A",+D6/B6-1)</f>
        <v>4.0399999999999991E-2</v>
      </c>
    </row>
    <row r="7" spans="1:5" ht="13" x14ac:dyDescent="0.3">
      <c r="A7" t="s">
        <v>42</v>
      </c>
      <c r="B7" s="43">
        <v>4820025</v>
      </c>
      <c r="C7" s="43">
        <f t="shared" ref="C7:D8" si="0">+B7*1.02</f>
        <v>4916425.5</v>
      </c>
      <c r="D7" s="43">
        <f t="shared" si="0"/>
        <v>5014754.01</v>
      </c>
      <c r="E7" s="85">
        <f t="shared" ref="E7:E8" si="1">IF(B7=0,"N/A",+D7/B7-1)</f>
        <v>4.0399999999999991E-2</v>
      </c>
    </row>
    <row r="8" spans="1:5" ht="13" x14ac:dyDescent="0.3">
      <c r="A8" t="s">
        <v>43</v>
      </c>
      <c r="B8" s="43">
        <v>3402370</v>
      </c>
      <c r="C8" s="43">
        <f t="shared" si="0"/>
        <v>3470417.4</v>
      </c>
      <c r="D8" s="43">
        <f t="shared" si="0"/>
        <v>3539825.7480000001</v>
      </c>
      <c r="E8" s="85">
        <f t="shared" si="1"/>
        <v>4.0399999999999991E-2</v>
      </c>
    </row>
    <row r="10" spans="1:5" ht="13" thickBot="1" x14ac:dyDescent="0.3">
      <c r="A10" s="41" t="s">
        <v>47</v>
      </c>
    </row>
    <row r="11" spans="1:5" ht="13" x14ac:dyDescent="0.3">
      <c r="A11" t="s">
        <v>41</v>
      </c>
      <c r="B11" s="43">
        <v>62978862</v>
      </c>
      <c r="C11" s="43">
        <f>(+B11+((4636.83)*[3]Sheet1!$I$15))*1.02</f>
        <v>65769541.835418008</v>
      </c>
      <c r="D11" s="43">
        <f>(+C11+((4636.83)*[3]Sheet1!$J$15))*1.02</f>
        <v>68505716.234772727</v>
      </c>
      <c r="E11" s="85">
        <f t="shared" ref="E11:E13" si="2">IF(B11=0,"N/A",+D11/B11-1)</f>
        <v>8.7757289656531512E-2</v>
      </c>
    </row>
    <row r="12" spans="1:5" ht="13" x14ac:dyDescent="0.3">
      <c r="A12" t="s">
        <v>42</v>
      </c>
      <c r="B12" s="43">
        <v>14926920.025735484</v>
      </c>
      <c r="C12" s="43">
        <f>((+B12-502685)+((4636.83)*[3]Sheet1!$I$16))*1.02</f>
        <v>14712719.726250194</v>
      </c>
      <c r="D12" s="43">
        <f>(+C12+((4636.83)*[3]Sheet1!$J$16))*1.02</f>
        <v>15147905.746322</v>
      </c>
      <c r="E12" s="85">
        <f t="shared" si="2"/>
        <v>1.4804508914465497E-2</v>
      </c>
    </row>
    <row r="13" spans="1:5" ht="13" x14ac:dyDescent="0.3">
      <c r="A13" t="s">
        <v>43</v>
      </c>
      <c r="B13" s="43">
        <v>15322338</v>
      </c>
      <c r="C13" s="43">
        <f>(+B13+((4636.83)*[3]Sheet1!$I$17))*1.02</f>
        <v>15930587.8638792</v>
      </c>
      <c r="D13" s="43">
        <f>(+C13+((4636.83)*[3]Sheet1!$J$17))*1.02</f>
        <v>16557038.787113568</v>
      </c>
      <c r="E13" s="85">
        <f t="shared" si="2"/>
        <v>8.0581748497753347E-2</v>
      </c>
    </row>
    <row r="15" spans="1:5" ht="13" thickBot="1" x14ac:dyDescent="0.3">
      <c r="A15" s="41" t="s">
        <v>11</v>
      </c>
    </row>
    <row r="16" spans="1:5" ht="13" x14ac:dyDescent="0.3">
      <c r="A16" t="s">
        <v>41</v>
      </c>
      <c r="B16" s="43">
        <v>0</v>
      </c>
      <c r="C16" s="43">
        <v>0</v>
      </c>
      <c r="D16" s="43">
        <v>0</v>
      </c>
      <c r="E16" s="85" t="str">
        <f t="shared" ref="E16:E18" si="3">IF(B16=0,"N/A",+D16/B16-1)</f>
        <v>N/A</v>
      </c>
    </row>
    <row r="17" spans="1:5" ht="13" x14ac:dyDescent="0.3">
      <c r="A17" t="s">
        <v>42</v>
      </c>
      <c r="B17" s="43">
        <v>3000</v>
      </c>
      <c r="C17" s="43">
        <v>3000</v>
      </c>
      <c r="D17" s="43">
        <v>3000</v>
      </c>
      <c r="E17" s="85">
        <f t="shared" si="3"/>
        <v>0</v>
      </c>
    </row>
    <row r="18" spans="1:5" ht="13" x14ac:dyDescent="0.3">
      <c r="A18" t="s">
        <v>43</v>
      </c>
      <c r="B18" s="43">
        <v>0</v>
      </c>
      <c r="C18" s="43">
        <v>0</v>
      </c>
      <c r="D18" s="43">
        <v>0</v>
      </c>
      <c r="E18" s="85" t="str">
        <f t="shared" si="3"/>
        <v>N/A</v>
      </c>
    </row>
    <row r="20" spans="1:5" ht="13" thickBot="1" x14ac:dyDescent="0.3">
      <c r="A20" s="41" t="s">
        <v>10</v>
      </c>
    </row>
    <row r="21" spans="1:5" ht="13" x14ac:dyDescent="0.3">
      <c r="A21" t="s">
        <v>41</v>
      </c>
      <c r="B21" s="43">
        <v>1125555</v>
      </c>
      <c r="C21" s="43">
        <v>1125555</v>
      </c>
      <c r="D21" s="43">
        <f>1125555+154980</f>
        <v>1280535</v>
      </c>
      <c r="E21" s="85">
        <f t="shared" ref="E21:E23" si="4">IF(B21=0,"N/A",+D21/B21-1)</f>
        <v>0.13769207191119048</v>
      </c>
    </row>
    <row r="22" spans="1:5" ht="13" x14ac:dyDescent="0.3">
      <c r="A22" t="s">
        <v>42</v>
      </c>
      <c r="B22" s="43">
        <v>339000</v>
      </c>
      <c r="C22" s="43">
        <v>339000</v>
      </c>
      <c r="D22" s="43">
        <v>339000</v>
      </c>
      <c r="E22" s="85">
        <f t="shared" si="4"/>
        <v>0</v>
      </c>
    </row>
    <row r="23" spans="1:5" ht="13" x14ac:dyDescent="0.3">
      <c r="A23" t="s">
        <v>43</v>
      </c>
      <c r="B23" s="43">
        <v>250952</v>
      </c>
      <c r="C23" s="43">
        <v>250952</v>
      </c>
      <c r="D23" s="43">
        <v>250952</v>
      </c>
      <c r="E23" s="85">
        <f t="shared" si="4"/>
        <v>0</v>
      </c>
    </row>
    <row r="24" spans="1:5" x14ac:dyDescent="0.25">
      <c r="B24" s="43">
        <f t="shared" ref="B24:C24" si="5">SUM(B21:B23)</f>
        <v>1715507</v>
      </c>
      <c r="C24" s="43">
        <f t="shared" si="5"/>
        <v>1715507</v>
      </c>
      <c r="D24" s="43">
        <f>SUM(D21:D23)</f>
        <v>1870487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GU001</vt:lpstr>
      <vt:lpstr>BC</vt:lpstr>
      <vt:lpstr>CCC</vt:lpstr>
      <vt:lpstr>PC</vt:lpstr>
      <vt:lpstr>DO</vt:lpstr>
      <vt:lpstr>Summary of Key Premisis</vt:lpstr>
      <vt:lpstr>Revenue Projections</vt:lpstr>
      <vt:lpstr>'Summary GU001'!Print_Area</vt:lpstr>
    </vt:vector>
  </TitlesOfParts>
  <Company>Legislative Analyst's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of California Revenues, 1950-01 to 2009-10</dc:title>
  <dc:subject>State of California Revenues, 1950-01 to 2009-10</dc:subject>
  <dc:creator>Legislative Analyst's Office</dc:creator>
  <cp:lastModifiedBy>Anthony Culpepper</cp:lastModifiedBy>
  <cp:lastPrinted>2015-01-05T19:23:59Z</cp:lastPrinted>
  <dcterms:created xsi:type="dcterms:W3CDTF">1996-05-01T21:44:04Z</dcterms:created>
  <dcterms:modified xsi:type="dcterms:W3CDTF">2015-01-26T23:37:20Z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